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\ADMINISTRATIVA Y FINANCIERA\2020\PRESUPUESTO\"/>
    </mc:Choice>
  </mc:AlternateContent>
  <bookViews>
    <workbookView xWindow="0" yWindow="0" windowWidth="20490" windowHeight="7755" tabRatio="810" firstSheet="5" activeTab="5"/>
  </bookViews>
  <sheets>
    <sheet name="PAC INICIAL 2020 (2)" sheetId="43" state="hidden" r:id="rId1"/>
    <sheet name="PROYECCION 2020" sheetId="29" state="hidden" r:id="rId2"/>
    <sheet name="PAC INICIAL 2020" sheetId="13" state="hidden" r:id="rId3"/>
    <sheet name="PAC MENSUALIZADO" sheetId="47" state="hidden" r:id="rId4"/>
    <sheet name="LIBRO DE PRESUPUESTO" sheetId="15" state="hidden" r:id="rId5"/>
    <sheet name="OCTUBRE" sheetId="57" r:id="rId6"/>
    <sheet name="SEPTIEMBRE AGR" sheetId="56" state="hidden" r:id="rId7"/>
    <sheet name="SEPTIEMBRE" sheetId="55" state="hidden" r:id="rId8"/>
    <sheet name="AGOSTO" sheetId="54" state="hidden" r:id="rId9"/>
    <sheet name="JULIO" sheetId="53" state="hidden" r:id="rId10"/>
    <sheet name="JUNIO" sheetId="51" state="hidden" r:id="rId11"/>
    <sheet name="MAYO" sheetId="50" state="hidden" r:id="rId12"/>
    <sheet name="ABRIL" sheetId="49" state="hidden" r:id="rId13"/>
    <sheet name="MARZO" sheetId="48" state="hidden" r:id="rId14"/>
    <sheet name="FEBRERO" sheetId="46" state="hidden" r:id="rId15"/>
    <sheet name="ENERO" sheetId="45" state="hidden" r:id="rId16"/>
    <sheet name="Hoja2" sheetId="52" state="hidden" r:id="rId17"/>
  </sheets>
  <definedNames>
    <definedName name="_xlnm._FilterDatabase" localSheetId="4" hidden="1">'LIBRO DE PRESUPUESTO'!$A$248:$K$377</definedName>
  </definedNames>
  <calcPr calcId="162913" concurrentCalc="0"/>
</workbook>
</file>

<file path=xl/calcChain.xml><?xml version="1.0" encoding="utf-8"?>
<calcChain xmlns="http://schemas.openxmlformats.org/spreadsheetml/2006/main">
  <c r="P41" i="57" l="1"/>
  <c r="P20" i="57"/>
  <c r="P19" i="57"/>
  <c r="G14" i="57"/>
  <c r="G13" i="57"/>
  <c r="G8" i="57"/>
  <c r="G62" i="57"/>
  <c r="G23" i="57"/>
  <c r="G26" i="57"/>
  <c r="G25" i="57"/>
  <c r="G61" i="57"/>
  <c r="G49" i="57"/>
  <c r="G52" i="57"/>
  <c r="G50" i="57"/>
  <c r="G48" i="57"/>
  <c r="G47" i="57"/>
  <c r="G44" i="57"/>
  <c r="G40" i="57"/>
  <c r="G17" i="57"/>
  <c r="G16" i="57"/>
  <c r="G15" i="57"/>
  <c r="F39" i="57"/>
  <c r="J36" i="57"/>
  <c r="C13" i="57"/>
  <c r="H13" i="57"/>
  <c r="J13" i="57"/>
  <c r="I12" i="46"/>
  <c r="I13" i="48"/>
  <c r="J13" i="48"/>
  <c r="I13" i="49"/>
  <c r="J13" i="49"/>
  <c r="I13" i="50"/>
  <c r="I13" i="51"/>
  <c r="I13" i="53"/>
  <c r="J13" i="53"/>
  <c r="I13" i="54"/>
  <c r="I13" i="55"/>
  <c r="N74" i="15"/>
  <c r="J80" i="15"/>
  <c r="J13" i="55"/>
  <c r="I13" i="57"/>
  <c r="L13" i="57"/>
  <c r="N13" i="57"/>
  <c r="C14" i="57"/>
  <c r="H14" i="57"/>
  <c r="J14" i="57"/>
  <c r="I13" i="46"/>
  <c r="I14" i="48"/>
  <c r="J14" i="48"/>
  <c r="I14" i="49"/>
  <c r="J14" i="49"/>
  <c r="I14" i="50"/>
  <c r="I14" i="51"/>
  <c r="I14" i="53"/>
  <c r="J14" i="53"/>
  <c r="I14" i="54"/>
  <c r="J14" i="54"/>
  <c r="I14" i="55"/>
  <c r="I14" i="57"/>
  <c r="L14" i="57"/>
  <c r="N14" i="57"/>
  <c r="C17" i="57"/>
  <c r="H17" i="57"/>
  <c r="J17" i="57"/>
  <c r="I16" i="46"/>
  <c r="I17" i="48"/>
  <c r="I17" i="49"/>
  <c r="J17" i="49"/>
  <c r="I17" i="50"/>
  <c r="I17" i="51"/>
  <c r="I17" i="53"/>
  <c r="J17" i="53"/>
  <c r="I17" i="54"/>
  <c r="I17" i="55"/>
  <c r="I17" i="57"/>
  <c r="L17" i="57"/>
  <c r="N17" i="57"/>
  <c r="C16" i="57"/>
  <c r="H16" i="57"/>
  <c r="J16" i="57"/>
  <c r="I15" i="46"/>
  <c r="I16" i="48"/>
  <c r="J16" i="48"/>
  <c r="I16" i="49"/>
  <c r="J16" i="49"/>
  <c r="I16" i="50"/>
  <c r="I16" i="51"/>
  <c r="I16" i="53"/>
  <c r="J16" i="53"/>
  <c r="I16" i="54"/>
  <c r="I16" i="55"/>
  <c r="I16" i="57"/>
  <c r="L16" i="57"/>
  <c r="N16" i="57"/>
  <c r="C9" i="57"/>
  <c r="G9" i="57"/>
  <c r="H9" i="57"/>
  <c r="K9" i="45"/>
  <c r="I9" i="46"/>
  <c r="J9" i="46"/>
  <c r="I9" i="48"/>
  <c r="J9" i="48"/>
  <c r="I9" i="49"/>
  <c r="J9" i="49"/>
  <c r="I9" i="50"/>
  <c r="J9" i="50"/>
  <c r="I9" i="51"/>
  <c r="J9" i="51"/>
  <c r="I9" i="53"/>
  <c r="J9" i="53"/>
  <c r="I9" i="54"/>
  <c r="I9" i="55"/>
  <c r="I9" i="57"/>
  <c r="L9" i="57"/>
  <c r="N9" i="57"/>
  <c r="H10" i="57"/>
  <c r="J10" i="57"/>
  <c r="I10" i="49"/>
  <c r="I10" i="50"/>
  <c r="I10" i="51"/>
  <c r="I10" i="53"/>
  <c r="I10" i="54"/>
  <c r="J10" i="54"/>
  <c r="I10" i="55"/>
  <c r="N6" i="15"/>
  <c r="N16" i="15"/>
  <c r="J24" i="15"/>
  <c r="J10" i="55"/>
  <c r="I10" i="57"/>
  <c r="L10" i="57"/>
  <c r="N10" i="57"/>
  <c r="C11" i="57"/>
  <c r="H11" i="57"/>
  <c r="J11" i="57"/>
  <c r="K10" i="45"/>
  <c r="I10" i="46"/>
  <c r="J10" i="46"/>
  <c r="I11" i="48"/>
  <c r="J11" i="48"/>
  <c r="I11" i="49"/>
  <c r="J11" i="49"/>
  <c r="I11" i="50"/>
  <c r="J11" i="50"/>
  <c r="I11" i="51"/>
  <c r="J11" i="51"/>
  <c r="I11" i="53"/>
  <c r="J11" i="53"/>
  <c r="I11" i="54"/>
  <c r="J11" i="54"/>
  <c r="I11" i="55"/>
  <c r="J11" i="55"/>
  <c r="I11" i="57"/>
  <c r="L11" i="57"/>
  <c r="N11" i="57"/>
  <c r="C12" i="57"/>
  <c r="H12" i="57"/>
  <c r="J12" i="57"/>
  <c r="K11" i="45"/>
  <c r="I11" i="46"/>
  <c r="J11" i="46"/>
  <c r="I12" i="48"/>
  <c r="J12" i="48"/>
  <c r="I12" i="49"/>
  <c r="J12" i="49"/>
  <c r="I12" i="50"/>
  <c r="J12" i="50"/>
  <c r="I12" i="51"/>
  <c r="J12" i="51"/>
  <c r="I12" i="53"/>
  <c r="J12" i="53"/>
  <c r="I12" i="54"/>
  <c r="J12" i="54"/>
  <c r="I12" i="55"/>
  <c r="J12" i="55"/>
  <c r="I12" i="57"/>
  <c r="L12" i="57"/>
  <c r="N12" i="57"/>
  <c r="C15" i="57"/>
  <c r="H15" i="57"/>
  <c r="J15" i="57"/>
  <c r="I14" i="46"/>
  <c r="I15" i="48"/>
  <c r="J15" i="48"/>
  <c r="I15" i="49"/>
  <c r="J15" i="49"/>
  <c r="I15" i="50"/>
  <c r="I15" i="51"/>
  <c r="I15" i="53"/>
  <c r="J15" i="53"/>
  <c r="I15" i="54"/>
  <c r="I15" i="55"/>
  <c r="I15" i="57"/>
  <c r="L15" i="57"/>
  <c r="N15" i="57"/>
  <c r="N8" i="57"/>
  <c r="C23" i="57"/>
  <c r="H23" i="57"/>
  <c r="I22" i="46"/>
  <c r="I23" i="48"/>
  <c r="I23" i="49"/>
  <c r="J23" i="49"/>
  <c r="I23" i="50"/>
  <c r="I23" i="51"/>
  <c r="I23" i="53"/>
  <c r="J23" i="53"/>
  <c r="I23" i="54"/>
  <c r="I23" i="55"/>
  <c r="I23" i="57"/>
  <c r="L23" i="57"/>
  <c r="N23" i="57"/>
  <c r="C24" i="57"/>
  <c r="H24" i="57"/>
  <c r="J24" i="57"/>
  <c r="K23" i="45"/>
  <c r="I23" i="46"/>
  <c r="J23" i="46"/>
  <c r="I24" i="48"/>
  <c r="J24" i="48"/>
  <c r="I24" i="49"/>
  <c r="J24" i="49"/>
  <c r="I24" i="50"/>
  <c r="I24" i="51"/>
  <c r="J24" i="51"/>
  <c r="I24" i="53"/>
  <c r="J24" i="53"/>
  <c r="I24" i="54"/>
  <c r="J24" i="54"/>
  <c r="I24" i="55"/>
  <c r="N576" i="15"/>
  <c r="N578" i="15"/>
  <c r="J582" i="15"/>
  <c r="J24" i="55"/>
  <c r="I24" i="57"/>
  <c r="L24" i="57"/>
  <c r="N24" i="57"/>
  <c r="C25" i="57"/>
  <c r="H25" i="57"/>
  <c r="J25" i="57"/>
  <c r="K24" i="45"/>
  <c r="I24" i="46"/>
  <c r="J24" i="46"/>
  <c r="I25" i="48"/>
  <c r="J25" i="48"/>
  <c r="I25" i="49"/>
  <c r="J25" i="49"/>
  <c r="I25" i="50"/>
  <c r="I25" i="51"/>
  <c r="J25" i="51"/>
  <c r="I25" i="53"/>
  <c r="J25" i="53"/>
  <c r="I25" i="54"/>
  <c r="J25" i="54"/>
  <c r="I25" i="55"/>
  <c r="J25" i="55"/>
  <c r="I25" i="57"/>
  <c r="L25" i="57"/>
  <c r="N25" i="57"/>
  <c r="C26" i="57"/>
  <c r="H26" i="57"/>
  <c r="J26" i="57"/>
  <c r="I25" i="46"/>
  <c r="I26" i="48"/>
  <c r="I26" i="49"/>
  <c r="J26" i="49"/>
  <c r="I26" i="50"/>
  <c r="I26" i="51"/>
  <c r="I26" i="53"/>
  <c r="J26" i="53"/>
  <c r="I26" i="54"/>
  <c r="I26" i="55"/>
  <c r="I26" i="57"/>
  <c r="L26" i="57"/>
  <c r="N26" i="57"/>
  <c r="N22" i="57"/>
  <c r="C61" i="57"/>
  <c r="H61" i="57"/>
  <c r="I61" i="48"/>
  <c r="J61" i="48"/>
  <c r="I61" i="49"/>
  <c r="I61" i="50"/>
  <c r="I61" i="51"/>
  <c r="J61" i="51"/>
  <c r="I61" i="53"/>
  <c r="I61" i="54"/>
  <c r="I61" i="55"/>
  <c r="I61" i="57"/>
  <c r="L61" i="57"/>
  <c r="N61" i="57"/>
  <c r="N60" i="57"/>
  <c r="C39" i="57"/>
  <c r="H39" i="57"/>
  <c r="I38" i="46"/>
  <c r="I39" i="48"/>
  <c r="J39" i="48"/>
  <c r="I39" i="49"/>
  <c r="I39" i="50"/>
  <c r="I39" i="51"/>
  <c r="I39" i="53"/>
  <c r="I39" i="54"/>
  <c r="I39" i="55"/>
  <c r="I39" i="57"/>
  <c r="L39" i="57"/>
  <c r="N39" i="57"/>
  <c r="C41" i="57"/>
  <c r="H41" i="57"/>
  <c r="J41" i="57"/>
  <c r="I40" i="46"/>
  <c r="I41" i="48"/>
  <c r="I41" i="49"/>
  <c r="I41" i="50"/>
  <c r="I41" i="51"/>
  <c r="I41" i="53"/>
  <c r="I41" i="54"/>
  <c r="I41" i="55"/>
  <c r="I41" i="57"/>
  <c r="L41" i="57"/>
  <c r="N41" i="57"/>
  <c r="C40" i="57"/>
  <c r="F40" i="57"/>
  <c r="H40" i="57"/>
  <c r="J199" i="15"/>
  <c r="K39" i="45"/>
  <c r="I39" i="46"/>
  <c r="I40" i="48"/>
  <c r="J40" i="48"/>
  <c r="I40" i="49"/>
  <c r="J40" i="49"/>
  <c r="I40" i="50"/>
  <c r="I40" i="51"/>
  <c r="J40" i="51"/>
  <c r="I40" i="53"/>
  <c r="J40" i="53"/>
  <c r="I40" i="54"/>
  <c r="J40" i="54"/>
  <c r="I40" i="55"/>
  <c r="I40" i="57"/>
  <c r="L40" i="57"/>
  <c r="N40" i="57"/>
  <c r="C42" i="57"/>
  <c r="H42" i="57"/>
  <c r="I41" i="46"/>
  <c r="I42" i="48"/>
  <c r="I42" i="49"/>
  <c r="I42" i="50"/>
  <c r="I42" i="51"/>
  <c r="I42" i="53"/>
  <c r="I42" i="54"/>
  <c r="I42" i="55"/>
  <c r="I42" i="57"/>
  <c r="L42" i="57"/>
  <c r="N42" i="57"/>
  <c r="N38" i="57"/>
  <c r="C53" i="57"/>
  <c r="H53" i="57"/>
  <c r="I52" i="46"/>
  <c r="I53" i="48"/>
  <c r="J53" i="48"/>
  <c r="I53" i="49"/>
  <c r="I53" i="50"/>
  <c r="I53" i="51"/>
  <c r="I53" i="53"/>
  <c r="I53" i="54"/>
  <c r="I53" i="55"/>
  <c r="I53" i="57"/>
  <c r="L53" i="57"/>
  <c r="N53" i="57"/>
  <c r="C55" i="57"/>
  <c r="H55" i="57"/>
  <c r="I54" i="46"/>
  <c r="I55" i="48"/>
  <c r="I55" i="49"/>
  <c r="I55" i="50"/>
  <c r="I55" i="51"/>
  <c r="I55" i="53"/>
  <c r="I55" i="54"/>
  <c r="I55" i="55"/>
  <c r="I55" i="57"/>
  <c r="L55" i="57"/>
  <c r="N55" i="57"/>
  <c r="C44" i="57"/>
  <c r="F44" i="57"/>
  <c r="H44" i="57"/>
  <c r="K43" i="45"/>
  <c r="I43" i="46"/>
  <c r="I44" i="48"/>
  <c r="J44" i="48"/>
  <c r="I44" i="49"/>
  <c r="J44" i="49"/>
  <c r="I44" i="50"/>
  <c r="I44" i="51"/>
  <c r="J44" i="51"/>
  <c r="I44" i="53"/>
  <c r="J44" i="53"/>
  <c r="I44" i="54"/>
  <c r="J44" i="54"/>
  <c r="I44" i="55"/>
  <c r="I44" i="57"/>
  <c r="L44" i="57"/>
  <c r="N44" i="57"/>
  <c r="C45" i="57"/>
  <c r="H45" i="57"/>
  <c r="J45" i="57"/>
  <c r="I44" i="46"/>
  <c r="J44" i="46"/>
  <c r="I45" i="48"/>
  <c r="J45" i="48"/>
  <c r="I45" i="49"/>
  <c r="J45" i="49"/>
  <c r="I45" i="50"/>
  <c r="I45" i="51"/>
  <c r="J45" i="51"/>
  <c r="I45" i="53"/>
  <c r="I45" i="54"/>
  <c r="J45" i="54"/>
  <c r="I45" i="55"/>
  <c r="J45" i="55"/>
  <c r="I45" i="57"/>
  <c r="L45" i="57"/>
  <c r="N45" i="57"/>
  <c r="C46" i="57"/>
  <c r="H46" i="57"/>
  <c r="K45" i="45"/>
  <c r="I45" i="46"/>
  <c r="I46" i="48"/>
  <c r="J46" i="48"/>
  <c r="I46" i="49"/>
  <c r="J46" i="49"/>
  <c r="I46" i="50"/>
  <c r="I46" i="51"/>
  <c r="J46" i="51"/>
  <c r="I46" i="53"/>
  <c r="I46" i="54"/>
  <c r="J46" i="54"/>
  <c r="I46" i="55"/>
  <c r="I46" i="57"/>
  <c r="L46" i="57"/>
  <c r="N46" i="57"/>
  <c r="C47" i="57"/>
  <c r="H47" i="57"/>
  <c r="J47" i="57"/>
  <c r="K46" i="45"/>
  <c r="I46" i="46"/>
  <c r="J46" i="46"/>
  <c r="I47" i="48"/>
  <c r="J47" i="48"/>
  <c r="I47" i="49"/>
  <c r="J47" i="49"/>
  <c r="I47" i="50"/>
  <c r="J47" i="50"/>
  <c r="I47" i="51"/>
  <c r="J47" i="51"/>
  <c r="I47" i="53"/>
  <c r="J47" i="53"/>
  <c r="I47" i="54"/>
  <c r="J47" i="54"/>
  <c r="I47" i="55"/>
  <c r="J47" i="55"/>
  <c r="I47" i="57"/>
  <c r="L47" i="57"/>
  <c r="N47" i="57"/>
  <c r="C48" i="57"/>
  <c r="H48" i="57"/>
  <c r="J48" i="57"/>
  <c r="K47" i="45"/>
  <c r="I47" i="46"/>
  <c r="J47" i="46"/>
  <c r="I48" i="48"/>
  <c r="J48" i="48"/>
  <c r="I48" i="49"/>
  <c r="J48" i="49"/>
  <c r="I48" i="50"/>
  <c r="J48" i="50"/>
  <c r="I48" i="51"/>
  <c r="J48" i="51"/>
  <c r="I48" i="53"/>
  <c r="J48" i="53"/>
  <c r="I48" i="54"/>
  <c r="J48" i="54"/>
  <c r="I48" i="55"/>
  <c r="J48" i="55"/>
  <c r="I48" i="57"/>
  <c r="L48" i="57"/>
  <c r="N48" i="57"/>
  <c r="C49" i="57"/>
  <c r="H49" i="57"/>
  <c r="J49" i="57"/>
  <c r="K48" i="45"/>
  <c r="I48" i="46"/>
  <c r="J48" i="46"/>
  <c r="I49" i="48"/>
  <c r="J49" i="48"/>
  <c r="I49" i="49"/>
  <c r="J49" i="49"/>
  <c r="I49" i="50"/>
  <c r="J49" i="50"/>
  <c r="I49" i="51"/>
  <c r="J49" i="51"/>
  <c r="I49" i="53"/>
  <c r="J49" i="53"/>
  <c r="I49" i="54"/>
  <c r="I49" i="55"/>
  <c r="J49" i="55"/>
  <c r="I49" i="57"/>
  <c r="L49" i="57"/>
  <c r="N49" i="57"/>
  <c r="C50" i="57"/>
  <c r="H50" i="57"/>
  <c r="I49" i="46"/>
  <c r="I50" i="48"/>
  <c r="I50" i="49"/>
  <c r="I50" i="50"/>
  <c r="I50" i="51"/>
  <c r="I50" i="53"/>
  <c r="I50" i="54"/>
  <c r="J50" i="54"/>
  <c r="I50" i="55"/>
  <c r="I50" i="57"/>
  <c r="L50" i="57"/>
  <c r="N50" i="57"/>
  <c r="C51" i="57"/>
  <c r="H51" i="57"/>
  <c r="I50" i="46"/>
  <c r="I51" i="48"/>
  <c r="I51" i="49"/>
  <c r="I51" i="50"/>
  <c r="I51" i="51"/>
  <c r="I51" i="53"/>
  <c r="I51" i="54"/>
  <c r="I51" i="55"/>
  <c r="I51" i="57"/>
  <c r="L51" i="57"/>
  <c r="N51" i="57"/>
  <c r="C52" i="57"/>
  <c r="H52" i="57"/>
  <c r="I51" i="46"/>
  <c r="I52" i="48"/>
  <c r="I52" i="49"/>
  <c r="J52" i="49"/>
  <c r="I52" i="50"/>
  <c r="I52" i="51"/>
  <c r="J52" i="51"/>
  <c r="I52" i="53"/>
  <c r="I52" i="54"/>
  <c r="I52" i="55"/>
  <c r="I52" i="57"/>
  <c r="L52" i="57"/>
  <c r="N52" i="57"/>
  <c r="C54" i="57"/>
  <c r="H54" i="57"/>
  <c r="I53" i="46"/>
  <c r="I54" i="48"/>
  <c r="J54" i="48"/>
  <c r="I54" i="49"/>
  <c r="I54" i="50"/>
  <c r="I54" i="51"/>
  <c r="I54" i="53"/>
  <c r="I54" i="54"/>
  <c r="I54" i="55"/>
  <c r="J54" i="55"/>
  <c r="I54" i="57"/>
  <c r="L54" i="57"/>
  <c r="N54" i="57"/>
  <c r="C56" i="57"/>
  <c r="H56" i="57"/>
  <c r="I55" i="46"/>
  <c r="I56" i="48"/>
  <c r="I56" i="49"/>
  <c r="I56" i="50"/>
  <c r="I56" i="51"/>
  <c r="I56" i="53"/>
  <c r="I56" i="54"/>
  <c r="I56" i="55"/>
  <c r="I56" i="57"/>
  <c r="L56" i="57"/>
  <c r="N56" i="57"/>
  <c r="C57" i="57"/>
  <c r="F57" i="57"/>
  <c r="H57" i="57"/>
  <c r="I56" i="46"/>
  <c r="I57" i="48"/>
  <c r="I57" i="49"/>
  <c r="I57" i="50"/>
  <c r="I57" i="51"/>
  <c r="I57" i="53"/>
  <c r="I57" i="54"/>
  <c r="I57" i="55"/>
  <c r="I57" i="57"/>
  <c r="L57" i="57"/>
  <c r="N57" i="57"/>
  <c r="C58" i="57"/>
  <c r="H58" i="57"/>
  <c r="I57" i="46"/>
  <c r="I58" i="48"/>
  <c r="I58" i="49"/>
  <c r="I58" i="50"/>
  <c r="I58" i="51"/>
  <c r="I58" i="53"/>
  <c r="I58" i="54"/>
  <c r="I58" i="55"/>
  <c r="I58" i="57"/>
  <c r="L58" i="57"/>
  <c r="N58" i="57"/>
  <c r="C59" i="57"/>
  <c r="H59" i="57"/>
  <c r="I58" i="46"/>
  <c r="I59" i="48"/>
  <c r="I59" i="49"/>
  <c r="I59" i="50"/>
  <c r="I59" i="51"/>
  <c r="I59" i="53"/>
  <c r="I59" i="54"/>
  <c r="I59" i="55"/>
  <c r="I59" i="57"/>
  <c r="L59" i="57"/>
  <c r="N59" i="57"/>
  <c r="N43" i="57"/>
  <c r="C19" i="57"/>
  <c r="F19" i="57"/>
  <c r="H19" i="57"/>
  <c r="J19" i="57"/>
  <c r="K18" i="45"/>
  <c r="I18" i="46"/>
  <c r="J18" i="46"/>
  <c r="I19" i="48"/>
  <c r="J19" i="48"/>
  <c r="I19" i="49"/>
  <c r="J19" i="49"/>
  <c r="I19" i="50"/>
  <c r="I19" i="51"/>
  <c r="J19" i="51"/>
  <c r="I19" i="53"/>
  <c r="J19" i="53"/>
  <c r="I19" i="54"/>
  <c r="J19" i="54"/>
  <c r="I19" i="55"/>
  <c r="I19" i="57"/>
  <c r="L19" i="57"/>
  <c r="N19" i="57"/>
  <c r="C20" i="57"/>
  <c r="F20" i="57"/>
  <c r="H20" i="57"/>
  <c r="J20" i="57"/>
  <c r="K19" i="45"/>
  <c r="I19" i="46"/>
  <c r="I20" i="48"/>
  <c r="I20" i="49"/>
  <c r="I20" i="50"/>
  <c r="J20" i="50"/>
  <c r="I20" i="51"/>
  <c r="I20" i="53"/>
  <c r="J20" i="53"/>
  <c r="I20" i="54"/>
  <c r="I20" i="55"/>
  <c r="I20" i="57"/>
  <c r="L20" i="57"/>
  <c r="N20" i="57"/>
  <c r="C21" i="57"/>
  <c r="H21" i="57"/>
  <c r="I20" i="46"/>
  <c r="I21" i="48"/>
  <c r="I21" i="49"/>
  <c r="I21" i="50"/>
  <c r="I21" i="51"/>
  <c r="I21" i="53"/>
  <c r="I21" i="55"/>
  <c r="I21" i="57"/>
  <c r="L21" i="57"/>
  <c r="N21" i="57"/>
  <c r="N18" i="57"/>
  <c r="C28" i="57"/>
  <c r="G28" i="57"/>
  <c r="H28" i="57"/>
  <c r="J28" i="57"/>
  <c r="I27" i="46"/>
  <c r="J27" i="46"/>
  <c r="I28" i="48"/>
  <c r="I28" i="49"/>
  <c r="I28" i="50"/>
  <c r="I28" i="51"/>
  <c r="I28" i="53"/>
  <c r="I28" i="54"/>
  <c r="I28" i="55"/>
  <c r="I28" i="57"/>
  <c r="L28" i="57"/>
  <c r="N28" i="57"/>
  <c r="C29" i="57"/>
  <c r="H29" i="57"/>
  <c r="I28" i="46"/>
  <c r="I29" i="48"/>
  <c r="I29" i="49"/>
  <c r="I29" i="50"/>
  <c r="I29" i="51"/>
  <c r="I29" i="53"/>
  <c r="I29" i="54"/>
  <c r="I29" i="55"/>
  <c r="I29" i="57"/>
  <c r="L29" i="57"/>
  <c r="N29" i="57"/>
  <c r="C30" i="57"/>
  <c r="H30" i="57"/>
  <c r="N636" i="15"/>
  <c r="J642" i="15"/>
  <c r="J30" i="57"/>
  <c r="K29" i="45"/>
  <c r="I29" i="46"/>
  <c r="J29" i="46"/>
  <c r="I30" i="48"/>
  <c r="J30" i="48"/>
  <c r="I30" i="49"/>
  <c r="J30" i="49"/>
  <c r="I30" i="50"/>
  <c r="I30" i="51"/>
  <c r="J30" i="51"/>
  <c r="I30" i="53"/>
  <c r="J30" i="53"/>
  <c r="I30" i="54"/>
  <c r="J30" i="54"/>
  <c r="I30" i="55"/>
  <c r="J30" i="55"/>
  <c r="I30" i="57"/>
  <c r="L30" i="57"/>
  <c r="N30" i="57"/>
  <c r="C31" i="57"/>
  <c r="H31" i="57"/>
  <c r="J31" i="57"/>
  <c r="K30" i="45"/>
  <c r="I30" i="46"/>
  <c r="J30" i="46"/>
  <c r="I31" i="48"/>
  <c r="J31" i="48"/>
  <c r="I31" i="49"/>
  <c r="J31" i="49"/>
  <c r="I31" i="50"/>
  <c r="I31" i="51"/>
  <c r="J31" i="51"/>
  <c r="I31" i="53"/>
  <c r="J31" i="53"/>
  <c r="I31" i="54"/>
  <c r="J31" i="54"/>
  <c r="I31" i="55"/>
  <c r="N649" i="15"/>
  <c r="N654" i="15"/>
  <c r="J657" i="15"/>
  <c r="J31" i="55"/>
  <c r="I31" i="57"/>
  <c r="L31" i="57"/>
  <c r="N31" i="57"/>
  <c r="C32" i="57"/>
  <c r="H32" i="57"/>
  <c r="J32" i="57"/>
  <c r="K31" i="45"/>
  <c r="I31" i="46"/>
  <c r="J31" i="46"/>
  <c r="I32" i="48"/>
  <c r="J32" i="48"/>
  <c r="I32" i="49"/>
  <c r="J32" i="49"/>
  <c r="I32" i="50"/>
  <c r="I32" i="51"/>
  <c r="J32" i="51"/>
  <c r="I32" i="53"/>
  <c r="J32" i="53"/>
  <c r="I32" i="54"/>
  <c r="J32" i="54"/>
  <c r="I32" i="55"/>
  <c r="J32" i="55"/>
  <c r="I32" i="57"/>
  <c r="L32" i="57"/>
  <c r="N32" i="57"/>
  <c r="C33" i="57"/>
  <c r="H33" i="57"/>
  <c r="J33" i="57"/>
  <c r="K32" i="45"/>
  <c r="I32" i="46"/>
  <c r="J32" i="46"/>
  <c r="I33" i="48"/>
  <c r="J33" i="48"/>
  <c r="I33" i="49"/>
  <c r="J33" i="49"/>
  <c r="I33" i="50"/>
  <c r="I33" i="51"/>
  <c r="J33" i="51"/>
  <c r="I33" i="53"/>
  <c r="J33" i="53"/>
  <c r="I33" i="54"/>
  <c r="J33" i="54"/>
  <c r="I33" i="55"/>
  <c r="J33" i="55"/>
  <c r="I33" i="57"/>
  <c r="L33" i="57"/>
  <c r="N33" i="57"/>
  <c r="C34" i="57"/>
  <c r="H34" i="57"/>
  <c r="J34" i="57"/>
  <c r="K33" i="45"/>
  <c r="I33" i="46"/>
  <c r="J33" i="46"/>
  <c r="I34" i="48"/>
  <c r="J34" i="48"/>
  <c r="I34" i="49"/>
  <c r="J34" i="49"/>
  <c r="I34" i="50"/>
  <c r="I34" i="51"/>
  <c r="J34" i="51"/>
  <c r="I34" i="53"/>
  <c r="J34" i="53"/>
  <c r="I34" i="54"/>
  <c r="J34" i="54"/>
  <c r="I34" i="55"/>
  <c r="J34" i="55"/>
  <c r="I34" i="57"/>
  <c r="L34" i="57"/>
  <c r="N34" i="57"/>
  <c r="C35" i="57"/>
  <c r="H35" i="57"/>
  <c r="J35" i="57"/>
  <c r="K34" i="45"/>
  <c r="I34" i="46"/>
  <c r="J34" i="46"/>
  <c r="I35" i="48"/>
  <c r="J35" i="48"/>
  <c r="I35" i="49"/>
  <c r="J35" i="49"/>
  <c r="I35" i="50"/>
  <c r="I35" i="51"/>
  <c r="J35" i="51"/>
  <c r="I35" i="53"/>
  <c r="J35" i="53"/>
  <c r="I35" i="54"/>
  <c r="J35" i="54"/>
  <c r="I35" i="55"/>
  <c r="J35" i="55"/>
  <c r="I35" i="57"/>
  <c r="L35" i="57"/>
  <c r="N35" i="57"/>
  <c r="C36" i="57"/>
  <c r="H36" i="57"/>
  <c r="K35" i="45"/>
  <c r="I35" i="46"/>
  <c r="J35" i="46"/>
  <c r="I36" i="48"/>
  <c r="J36" i="48"/>
  <c r="I36" i="49"/>
  <c r="J36" i="49"/>
  <c r="I36" i="50"/>
  <c r="I36" i="51"/>
  <c r="J36" i="51"/>
  <c r="I36" i="53"/>
  <c r="J36" i="53"/>
  <c r="I36" i="54"/>
  <c r="J36" i="54"/>
  <c r="I36" i="55"/>
  <c r="J36" i="55"/>
  <c r="I36" i="57"/>
  <c r="L36" i="57"/>
  <c r="N36" i="57"/>
  <c r="C37" i="57"/>
  <c r="H37" i="57"/>
  <c r="I36" i="46"/>
  <c r="I37" i="48"/>
  <c r="I37" i="49"/>
  <c r="I37" i="50"/>
  <c r="I37" i="53"/>
  <c r="I37" i="54"/>
  <c r="I37" i="55"/>
  <c r="I37" i="57"/>
  <c r="L37" i="57"/>
  <c r="N37" i="57"/>
  <c r="N27" i="57"/>
  <c r="N62" i="57"/>
  <c r="H561" i="15"/>
  <c r="H571" i="15"/>
  <c r="H586" i="15"/>
  <c r="H603" i="15"/>
  <c r="H560" i="15"/>
  <c r="H614" i="15"/>
  <c r="H631" i="15"/>
  <c r="H647" i="15"/>
  <c r="H663" i="15"/>
  <c r="H679" i="15"/>
  <c r="H695" i="15"/>
  <c r="H710" i="15"/>
  <c r="H730" i="15"/>
  <c r="H747" i="15"/>
  <c r="H613" i="15"/>
  <c r="H226" i="15"/>
  <c r="H248" i="15"/>
  <c r="H381" i="15"/>
  <c r="H401" i="15"/>
  <c r="H416" i="15"/>
  <c r="H453" i="15"/>
  <c r="H483" i="15"/>
  <c r="H498" i="15"/>
  <c r="H507" i="15"/>
  <c r="H517" i="15"/>
  <c r="H524" i="15"/>
  <c r="H530" i="15"/>
  <c r="H535" i="15"/>
  <c r="H539" i="15"/>
  <c r="H543" i="15"/>
  <c r="H225" i="15"/>
  <c r="H187" i="15"/>
  <c r="H198" i="15"/>
  <c r="H215" i="15"/>
  <c r="H186" i="15"/>
  <c r="H159" i="15"/>
  <c r="H175" i="15"/>
  <c r="H158" i="15"/>
  <c r="H4" i="15"/>
  <c r="H34" i="15"/>
  <c r="H50" i="15"/>
  <c r="H69" i="15"/>
  <c r="H85" i="15"/>
  <c r="H108" i="15"/>
  <c r="H129" i="15"/>
  <c r="H150" i="15"/>
  <c r="H3" i="15"/>
  <c r="H757" i="15"/>
  <c r="H756" i="15"/>
  <c r="H771" i="15"/>
  <c r="M50" i="57"/>
  <c r="M52" i="57"/>
  <c r="P56" i="57"/>
  <c r="M42" i="57"/>
  <c r="M21" i="57"/>
  <c r="K10" i="57"/>
  <c r="M61" i="57"/>
  <c r="R60" i="57"/>
  <c r="K60" i="57"/>
  <c r="J60" i="57"/>
  <c r="G60" i="57"/>
  <c r="F60" i="57"/>
  <c r="E60" i="57"/>
  <c r="D60" i="57"/>
  <c r="M58" i="57"/>
  <c r="M56" i="57"/>
  <c r="M55" i="57"/>
  <c r="K49" i="57"/>
  <c r="M49" i="57"/>
  <c r="M47" i="57"/>
  <c r="M46" i="57"/>
  <c r="M45" i="57"/>
  <c r="J43" i="57"/>
  <c r="G43" i="57"/>
  <c r="F43" i="57"/>
  <c r="E43" i="57"/>
  <c r="D43" i="57"/>
  <c r="M40" i="57"/>
  <c r="M39" i="57"/>
  <c r="J38" i="57"/>
  <c r="G38" i="57"/>
  <c r="F38" i="57"/>
  <c r="E38" i="57"/>
  <c r="D38" i="57"/>
  <c r="M37" i="57"/>
  <c r="P37" i="57"/>
  <c r="M35" i="57"/>
  <c r="M34" i="57"/>
  <c r="K33" i="57"/>
  <c r="M33" i="57"/>
  <c r="M31" i="57"/>
  <c r="K30" i="57"/>
  <c r="M30" i="57"/>
  <c r="M29" i="57"/>
  <c r="M28" i="57"/>
  <c r="G27" i="57"/>
  <c r="J27" i="57"/>
  <c r="F27" i="57"/>
  <c r="E27" i="57"/>
  <c r="D27" i="57"/>
  <c r="D62" i="57"/>
  <c r="M26" i="57"/>
  <c r="M23" i="57"/>
  <c r="P23" i="57"/>
  <c r="G22" i="57"/>
  <c r="F22" i="57"/>
  <c r="E22" i="57"/>
  <c r="D22" i="57"/>
  <c r="C22" i="57"/>
  <c r="M19" i="57"/>
  <c r="J18" i="57"/>
  <c r="G18" i="57"/>
  <c r="F18" i="57"/>
  <c r="E18" i="57"/>
  <c r="D18" i="57"/>
  <c r="C18" i="57"/>
  <c r="M17" i="57"/>
  <c r="M16" i="57"/>
  <c r="M15" i="57"/>
  <c r="P15" i="57"/>
  <c r="O15" i="57"/>
  <c r="K12" i="57"/>
  <c r="M12" i="57"/>
  <c r="M11" i="57"/>
  <c r="J8" i="57"/>
  <c r="F8" i="57"/>
  <c r="E8" i="57"/>
  <c r="E62" i="57"/>
  <c r="D8" i="57"/>
  <c r="R37" i="57"/>
  <c r="M36" i="57"/>
  <c r="J22" i="57"/>
  <c r="F62" i="57"/>
  <c r="M13" i="57"/>
  <c r="O58" i="57"/>
  <c r="M48" i="57"/>
  <c r="R48" i="57"/>
  <c r="O52" i="57"/>
  <c r="O46" i="57"/>
  <c r="O50" i="57"/>
  <c r="P42" i="57"/>
  <c r="Q42" i="57"/>
  <c r="O32" i="57"/>
  <c r="O31" i="57"/>
  <c r="M32" i="57"/>
  <c r="R32" i="57"/>
  <c r="I27" i="57"/>
  <c r="O24" i="57"/>
  <c r="M20" i="57"/>
  <c r="Q20" i="57"/>
  <c r="M10" i="57"/>
  <c r="R10" i="57"/>
  <c r="O13" i="57"/>
  <c r="M14" i="57"/>
  <c r="R14" i="57"/>
  <c r="O14" i="57"/>
  <c r="O12" i="57"/>
  <c r="P49" i="57"/>
  <c r="Q49" i="57"/>
  <c r="J62" i="57"/>
  <c r="O36" i="57"/>
  <c r="O33" i="57"/>
  <c r="O25" i="57"/>
  <c r="M9" i="57"/>
  <c r="I8" i="57"/>
  <c r="O11" i="57"/>
  <c r="C8" i="57"/>
  <c r="P14" i="57"/>
  <c r="Q14" i="57"/>
  <c r="M18" i="57"/>
  <c r="O23" i="57"/>
  <c r="K14" i="57"/>
  <c r="P24" i="57"/>
  <c r="K24" i="57"/>
  <c r="P25" i="57"/>
  <c r="K25" i="57"/>
  <c r="O10" i="57"/>
  <c r="P10" i="57"/>
  <c r="R11" i="57"/>
  <c r="P11" i="57"/>
  <c r="Q11" i="57"/>
  <c r="R12" i="57"/>
  <c r="P12" i="57"/>
  <c r="Q12" i="57"/>
  <c r="R13" i="57"/>
  <c r="K13" i="57"/>
  <c r="P13" i="57"/>
  <c r="Q13" i="57"/>
  <c r="Q15" i="57"/>
  <c r="H18" i="57"/>
  <c r="Q23" i="57"/>
  <c r="H22" i="57"/>
  <c r="M25" i="57"/>
  <c r="Q25" i="57"/>
  <c r="R34" i="57"/>
  <c r="P34" i="57"/>
  <c r="R15" i="57"/>
  <c r="R20" i="57"/>
  <c r="I22" i="57"/>
  <c r="R23" i="57"/>
  <c r="C27" i="57"/>
  <c r="M27" i="57"/>
  <c r="R31" i="57"/>
  <c r="P31" i="57"/>
  <c r="Q31" i="57"/>
  <c r="K34" i="57"/>
  <c r="R35" i="57"/>
  <c r="P35" i="57"/>
  <c r="Q35" i="57"/>
  <c r="R42" i="57"/>
  <c r="P45" i="57"/>
  <c r="Q45" i="57"/>
  <c r="K45" i="57"/>
  <c r="P48" i="57"/>
  <c r="Q48" i="57"/>
  <c r="M54" i="57"/>
  <c r="C60" i="57"/>
  <c r="M24" i="57"/>
  <c r="Q24" i="57"/>
  <c r="P40" i="57"/>
  <c r="Q40" i="57"/>
  <c r="K40" i="57"/>
  <c r="R40" i="57"/>
  <c r="K15" i="57"/>
  <c r="I18" i="57"/>
  <c r="K23" i="57"/>
  <c r="L22" i="57"/>
  <c r="K22" i="57"/>
  <c r="O30" i="57"/>
  <c r="K31" i="57"/>
  <c r="P32" i="57"/>
  <c r="O34" i="57"/>
  <c r="K35" i="57"/>
  <c r="R36" i="57"/>
  <c r="P36" i="57"/>
  <c r="Q36" i="57"/>
  <c r="C38" i="57"/>
  <c r="O45" i="57"/>
  <c r="R46" i="57"/>
  <c r="P46" i="57"/>
  <c r="Q46" i="57"/>
  <c r="O47" i="57"/>
  <c r="C43" i="57"/>
  <c r="K48" i="57"/>
  <c r="R55" i="57"/>
  <c r="Q56" i="57"/>
  <c r="M57" i="57"/>
  <c r="P58" i="57"/>
  <c r="Q58" i="57"/>
  <c r="K58" i="57"/>
  <c r="R58" i="57"/>
  <c r="M59" i="57"/>
  <c r="O59" i="57"/>
  <c r="P61" i="57"/>
  <c r="P60" i="57"/>
  <c r="L60" i="57"/>
  <c r="R30" i="57"/>
  <c r="P30" i="57"/>
  <c r="Q30" i="57"/>
  <c r="M41" i="57"/>
  <c r="Q41" i="57"/>
  <c r="I38" i="57"/>
  <c r="L38" i="57"/>
  <c r="R47" i="57"/>
  <c r="P47" i="57"/>
  <c r="R29" i="57"/>
  <c r="K32" i="57"/>
  <c r="R33" i="57"/>
  <c r="P33" i="57"/>
  <c r="Q33" i="57"/>
  <c r="Q34" i="57"/>
  <c r="O35" i="57"/>
  <c r="K36" i="57"/>
  <c r="Q37" i="57"/>
  <c r="P39" i="57"/>
  <c r="R39" i="57"/>
  <c r="M44" i="57"/>
  <c r="I43" i="57"/>
  <c r="R45" i="57"/>
  <c r="K46" i="57"/>
  <c r="Q47" i="57"/>
  <c r="O48" i="57"/>
  <c r="P50" i="57"/>
  <c r="Q50" i="57"/>
  <c r="K50" i="57"/>
  <c r="R50" i="57"/>
  <c r="M51" i="57"/>
  <c r="P52" i="57"/>
  <c r="Q52" i="57"/>
  <c r="K52" i="57"/>
  <c r="R52" i="57"/>
  <c r="M53" i="57"/>
  <c r="R56" i="57"/>
  <c r="Q61" i="57"/>
  <c r="Q60" i="57"/>
  <c r="P29" i="57"/>
  <c r="Q29" i="57"/>
  <c r="P55" i="57"/>
  <c r="Q55" i="57"/>
  <c r="I60" i="57"/>
  <c r="M60" i="57"/>
  <c r="H9" i="56"/>
  <c r="H10" i="56"/>
  <c r="H11" i="56"/>
  <c r="H12" i="56"/>
  <c r="H13" i="56"/>
  <c r="H14" i="56"/>
  <c r="H15" i="56"/>
  <c r="H16" i="56"/>
  <c r="H17" i="56"/>
  <c r="H8" i="56"/>
  <c r="H19" i="56"/>
  <c r="C20" i="56"/>
  <c r="H20" i="56"/>
  <c r="C21" i="56"/>
  <c r="H21" i="56"/>
  <c r="H18" i="56"/>
  <c r="H39" i="56"/>
  <c r="H40" i="56"/>
  <c r="H41" i="56"/>
  <c r="H42" i="56"/>
  <c r="H38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43" i="56"/>
  <c r="H23" i="56"/>
  <c r="H24" i="56"/>
  <c r="H25" i="56"/>
  <c r="H26" i="56"/>
  <c r="H22" i="56"/>
  <c r="H28" i="56"/>
  <c r="H29" i="56"/>
  <c r="H30" i="56"/>
  <c r="H31" i="56"/>
  <c r="H32" i="56"/>
  <c r="H33" i="56"/>
  <c r="H34" i="56"/>
  <c r="H35" i="56"/>
  <c r="H36" i="56"/>
  <c r="H37" i="56"/>
  <c r="H27" i="56"/>
  <c r="H61" i="56"/>
  <c r="H60" i="56"/>
  <c r="H62" i="56"/>
  <c r="E69" i="56"/>
  <c r="Q10" i="57"/>
  <c r="Q32" i="57"/>
  <c r="M22" i="57"/>
  <c r="R24" i="57"/>
  <c r="H27" i="57"/>
  <c r="R51" i="57"/>
  <c r="P51" i="57"/>
  <c r="Q51" i="57"/>
  <c r="R44" i="57"/>
  <c r="O40" i="57"/>
  <c r="P38" i="57"/>
  <c r="Q39" i="57"/>
  <c r="Q38" i="57"/>
  <c r="M38" i="57"/>
  <c r="R54" i="57"/>
  <c r="P54" i="57"/>
  <c r="R17" i="57"/>
  <c r="P17" i="57"/>
  <c r="Q17" i="57"/>
  <c r="K17" i="57"/>
  <c r="R25" i="57"/>
  <c r="L8" i="57"/>
  <c r="K9" i="57"/>
  <c r="R9" i="57"/>
  <c r="M43" i="57"/>
  <c r="P57" i="57"/>
  <c r="Q57" i="57"/>
  <c r="R19" i="57"/>
  <c r="K19" i="57"/>
  <c r="L18" i="57"/>
  <c r="K18" i="57"/>
  <c r="P44" i="57"/>
  <c r="L43" i="57"/>
  <c r="K44" i="57"/>
  <c r="H38" i="57"/>
  <c r="P59" i="57"/>
  <c r="Q59" i="57"/>
  <c r="K59" i="57"/>
  <c r="R59" i="57"/>
  <c r="H43" i="57"/>
  <c r="O16" i="57"/>
  <c r="P16" i="57"/>
  <c r="Q16" i="57"/>
  <c r="R16" i="57"/>
  <c r="K16" i="57"/>
  <c r="Q54" i="57"/>
  <c r="C62" i="57"/>
  <c r="R21" i="57"/>
  <c r="P21" i="57"/>
  <c r="Q21" i="57"/>
  <c r="K11" i="57"/>
  <c r="K47" i="57"/>
  <c r="I62" i="57"/>
  <c r="P53" i="57"/>
  <c r="Q53" i="57"/>
  <c r="K53" i="57"/>
  <c r="R53" i="57"/>
  <c r="O53" i="57"/>
  <c r="K38" i="57"/>
  <c r="R38" i="57"/>
  <c r="R28" i="57"/>
  <c r="P28" i="57"/>
  <c r="K28" i="57"/>
  <c r="L27" i="57"/>
  <c r="K27" i="57"/>
  <c r="R41" i="57"/>
  <c r="K41" i="57"/>
  <c r="O41" i="57"/>
  <c r="R57" i="57"/>
  <c r="P26" i="57"/>
  <c r="R26" i="57"/>
  <c r="R22" i="57"/>
  <c r="K26" i="57"/>
  <c r="H60" i="57"/>
  <c r="O17" i="57"/>
  <c r="H8" i="57"/>
  <c r="H62" i="57"/>
  <c r="M8" i="57"/>
  <c r="P9" i="57"/>
  <c r="Q9" i="57"/>
  <c r="Q31" i="47"/>
  <c r="Q30" i="47"/>
  <c r="Q28" i="47"/>
  <c r="M62" i="57"/>
  <c r="R49" i="57"/>
  <c r="O38" i="57"/>
  <c r="Q8" i="57"/>
  <c r="P27" i="57"/>
  <c r="Q28" i="57"/>
  <c r="Q27" i="57"/>
  <c r="O18" i="57"/>
  <c r="O19" i="57"/>
  <c r="K43" i="57"/>
  <c r="R43" i="57"/>
  <c r="R27" i="57"/>
  <c r="P18" i="57"/>
  <c r="Q19" i="57"/>
  <c r="Q18" i="57"/>
  <c r="O26" i="57"/>
  <c r="O22" i="57"/>
  <c r="P43" i="57"/>
  <c r="Q44" i="57"/>
  <c r="Q43" i="57"/>
  <c r="L62" i="57"/>
  <c r="K62" i="57"/>
  <c r="K8" i="57"/>
  <c r="O27" i="57"/>
  <c r="O28" i="57"/>
  <c r="R8" i="57"/>
  <c r="P8" i="57"/>
  <c r="P22" i="57"/>
  <c r="Q26" i="57"/>
  <c r="Q22" i="57"/>
  <c r="O44" i="57"/>
  <c r="O43" i="57"/>
  <c r="R18" i="57"/>
  <c r="O9" i="57"/>
  <c r="S34" i="47"/>
  <c r="E35" i="47"/>
  <c r="R62" i="57"/>
  <c r="Q62" i="57"/>
  <c r="O62" i="57"/>
  <c r="O8" i="57"/>
  <c r="P62" i="57"/>
  <c r="R60" i="56"/>
  <c r="K60" i="56"/>
  <c r="J60" i="56"/>
  <c r="G60" i="56"/>
  <c r="F60" i="56"/>
  <c r="E60" i="56"/>
  <c r="D60" i="56"/>
  <c r="L59" i="56"/>
  <c r="M58" i="56"/>
  <c r="L58" i="56"/>
  <c r="P58" i="56"/>
  <c r="N58" i="56"/>
  <c r="O58" i="56"/>
  <c r="L56" i="56"/>
  <c r="M56" i="56"/>
  <c r="R56" i="56"/>
  <c r="P56" i="56"/>
  <c r="M55" i="56"/>
  <c r="L55" i="56"/>
  <c r="P55" i="56"/>
  <c r="N55" i="56"/>
  <c r="M54" i="56"/>
  <c r="M52" i="56"/>
  <c r="L52" i="56"/>
  <c r="R52" i="56"/>
  <c r="M50" i="56"/>
  <c r="L50" i="56"/>
  <c r="R50" i="56"/>
  <c r="M49" i="56"/>
  <c r="M48" i="56"/>
  <c r="M47" i="56"/>
  <c r="M45" i="56"/>
  <c r="L45" i="56"/>
  <c r="M44" i="56"/>
  <c r="J43" i="56"/>
  <c r="G43" i="56"/>
  <c r="F43" i="56"/>
  <c r="E43" i="56"/>
  <c r="D43" i="56"/>
  <c r="M42" i="56"/>
  <c r="L42" i="56"/>
  <c r="P42" i="56"/>
  <c r="Q42" i="56"/>
  <c r="M40" i="56"/>
  <c r="L40" i="56"/>
  <c r="R40" i="56"/>
  <c r="F38" i="56"/>
  <c r="L39" i="56"/>
  <c r="M39" i="56"/>
  <c r="J38" i="56"/>
  <c r="G38" i="56"/>
  <c r="E38" i="56"/>
  <c r="D38" i="56"/>
  <c r="L37" i="56"/>
  <c r="P37" i="56"/>
  <c r="M37" i="56"/>
  <c r="Q37" i="56"/>
  <c r="N37" i="56"/>
  <c r="M36" i="56"/>
  <c r="M35" i="56"/>
  <c r="L34" i="56"/>
  <c r="M33" i="56"/>
  <c r="L33" i="56"/>
  <c r="P33" i="56"/>
  <c r="N33" i="56"/>
  <c r="O33" i="56"/>
  <c r="M32" i="56"/>
  <c r="M29" i="56"/>
  <c r="L29" i="56"/>
  <c r="P29" i="56"/>
  <c r="Q29" i="56"/>
  <c r="N29" i="56"/>
  <c r="L28" i="56"/>
  <c r="M28" i="56"/>
  <c r="N28" i="56"/>
  <c r="G27" i="56"/>
  <c r="F27" i="56"/>
  <c r="E27" i="56"/>
  <c r="D27" i="56"/>
  <c r="D62" i="56"/>
  <c r="J22" i="56"/>
  <c r="G22" i="56"/>
  <c r="F22" i="56"/>
  <c r="E22" i="56"/>
  <c r="D22" i="56"/>
  <c r="M21" i="56"/>
  <c r="L21" i="56"/>
  <c r="P21" i="56"/>
  <c r="M20" i="56"/>
  <c r="M19" i="56"/>
  <c r="L19" i="56"/>
  <c r="P19" i="56"/>
  <c r="Q19" i="56"/>
  <c r="F18" i="56"/>
  <c r="M18" i="56"/>
  <c r="J18" i="56"/>
  <c r="I18" i="56"/>
  <c r="G18" i="56"/>
  <c r="E18" i="56"/>
  <c r="D18" i="56"/>
  <c r="M17" i="56"/>
  <c r="L17" i="56"/>
  <c r="P17" i="56"/>
  <c r="N17" i="56"/>
  <c r="O17" i="56"/>
  <c r="M16" i="56"/>
  <c r="L16" i="56"/>
  <c r="P16" i="56"/>
  <c r="N16" i="56"/>
  <c r="O16" i="56"/>
  <c r="M15" i="56"/>
  <c r="M13" i="56"/>
  <c r="L13" i="56"/>
  <c r="P13" i="56"/>
  <c r="M12" i="56"/>
  <c r="L12" i="56"/>
  <c r="P12" i="56"/>
  <c r="L11" i="56"/>
  <c r="M11" i="56"/>
  <c r="J8" i="56"/>
  <c r="L10" i="56"/>
  <c r="M9" i="56"/>
  <c r="L9" i="56"/>
  <c r="G8" i="56"/>
  <c r="G62" i="56"/>
  <c r="F8" i="56"/>
  <c r="E8" i="56"/>
  <c r="D8" i="56"/>
  <c r="N56" i="56"/>
  <c r="Q58" i="56"/>
  <c r="P52" i="56"/>
  <c r="Q52" i="56"/>
  <c r="N59" i="56"/>
  <c r="O59" i="56"/>
  <c r="N50" i="56"/>
  <c r="O50" i="56"/>
  <c r="N52" i="56"/>
  <c r="O52" i="56"/>
  <c r="Q56" i="56"/>
  <c r="R33" i="56"/>
  <c r="Q12" i="56"/>
  <c r="N45" i="56"/>
  <c r="O45" i="56"/>
  <c r="P50" i="56"/>
  <c r="Q50" i="56"/>
  <c r="P40" i="56"/>
  <c r="Q40" i="56"/>
  <c r="Q33" i="56"/>
  <c r="R28" i="56"/>
  <c r="P28" i="56"/>
  <c r="R37" i="56"/>
  <c r="N12" i="56"/>
  <c r="O12" i="56"/>
  <c r="N13" i="56"/>
  <c r="O13" i="56"/>
  <c r="P9" i="56"/>
  <c r="Q9" i="56"/>
  <c r="Q17" i="56"/>
  <c r="K9" i="56"/>
  <c r="K52" i="56"/>
  <c r="K28" i="56"/>
  <c r="K33" i="56"/>
  <c r="P10" i="56"/>
  <c r="K10" i="56"/>
  <c r="L14" i="56"/>
  <c r="L15" i="56"/>
  <c r="L8" i="56"/>
  <c r="Q13" i="56"/>
  <c r="N9" i="56"/>
  <c r="K11" i="56"/>
  <c r="N11" i="56"/>
  <c r="O11" i="56"/>
  <c r="R11" i="56"/>
  <c r="P11" i="56"/>
  <c r="Q11" i="56"/>
  <c r="N10" i="56"/>
  <c r="O10" i="56"/>
  <c r="M10" i="56"/>
  <c r="R10" i="56"/>
  <c r="L30" i="56"/>
  <c r="J27" i="56"/>
  <c r="J62" i="56"/>
  <c r="M53" i="56"/>
  <c r="L53" i="56"/>
  <c r="N53" i="56"/>
  <c r="O53" i="56"/>
  <c r="E62" i="56"/>
  <c r="M14" i="56"/>
  <c r="N14" i="56"/>
  <c r="O14" i="56"/>
  <c r="Q21" i="56"/>
  <c r="R39" i="56"/>
  <c r="P39" i="56"/>
  <c r="P38" i="56"/>
  <c r="N39" i="56"/>
  <c r="R42" i="56"/>
  <c r="N19" i="56"/>
  <c r="I8" i="56"/>
  <c r="F62" i="56"/>
  <c r="R9" i="56"/>
  <c r="K16" i="56"/>
  <c r="R16" i="56"/>
  <c r="C18" i="56"/>
  <c r="N21" i="56"/>
  <c r="R21" i="56"/>
  <c r="O28" i="56"/>
  <c r="C27" i="56"/>
  <c r="M34" i="56"/>
  <c r="R34" i="56"/>
  <c r="C38" i="56"/>
  <c r="K45" i="56"/>
  <c r="P45" i="56"/>
  <c r="Q45" i="56"/>
  <c r="R45" i="56"/>
  <c r="K50" i="56"/>
  <c r="C8" i="56"/>
  <c r="K12" i="56"/>
  <c r="R12" i="56"/>
  <c r="K13" i="56"/>
  <c r="R13" i="56"/>
  <c r="Q16" i="56"/>
  <c r="C22" i="56"/>
  <c r="M30" i="56"/>
  <c r="M31" i="56"/>
  <c r="I27" i="56"/>
  <c r="P34" i="56"/>
  <c r="N34" i="56"/>
  <c r="O34" i="56"/>
  <c r="K34" i="56"/>
  <c r="M41" i="56"/>
  <c r="L41" i="56"/>
  <c r="L38" i="56"/>
  <c r="I38" i="56"/>
  <c r="L46" i="56"/>
  <c r="M46" i="56"/>
  <c r="L51" i="56"/>
  <c r="M51" i="56"/>
  <c r="C60" i="56"/>
  <c r="N15" i="56"/>
  <c r="O15" i="56"/>
  <c r="R17" i="56"/>
  <c r="R19" i="56"/>
  <c r="R29" i="56"/>
  <c r="L31" i="56"/>
  <c r="L35" i="56"/>
  <c r="L47" i="56"/>
  <c r="Q55" i="56"/>
  <c r="M57" i="56"/>
  <c r="L57" i="56"/>
  <c r="P59" i="56"/>
  <c r="K59" i="56"/>
  <c r="K17" i="56"/>
  <c r="K19" i="56"/>
  <c r="L20" i="56"/>
  <c r="L32" i="56"/>
  <c r="L36" i="56"/>
  <c r="N42" i="56"/>
  <c r="I43" i="56"/>
  <c r="L44" i="56"/>
  <c r="L48" i="56"/>
  <c r="N48" i="56"/>
  <c r="O48" i="56"/>
  <c r="L54" i="56"/>
  <c r="M59" i="56"/>
  <c r="Q59" i="56"/>
  <c r="Q28" i="56"/>
  <c r="M27" i="56"/>
  <c r="C43" i="56"/>
  <c r="L49" i="56"/>
  <c r="N49" i="56"/>
  <c r="R55" i="56"/>
  <c r="K58" i="56"/>
  <c r="R58" i="56"/>
  <c r="N47" i="56"/>
  <c r="O47" i="56"/>
  <c r="R54" i="56"/>
  <c r="N54" i="56"/>
  <c r="P54" i="56"/>
  <c r="Q54" i="56"/>
  <c r="P31" i="56"/>
  <c r="Q31" i="56"/>
  <c r="R31" i="56"/>
  <c r="K31" i="56"/>
  <c r="N31" i="56"/>
  <c r="O31" i="56"/>
  <c r="P51" i="56"/>
  <c r="Q51" i="56"/>
  <c r="R51" i="56"/>
  <c r="N32" i="56"/>
  <c r="O32" i="56"/>
  <c r="R20" i="56"/>
  <c r="R18" i="56"/>
  <c r="L18" i="56"/>
  <c r="P20" i="56"/>
  <c r="P35" i="56"/>
  <c r="Q35" i="56"/>
  <c r="R35" i="56"/>
  <c r="K35" i="56"/>
  <c r="N35" i="56"/>
  <c r="O35" i="56"/>
  <c r="C62" i="56"/>
  <c r="M43" i="56"/>
  <c r="K8" i="56"/>
  <c r="P48" i="56"/>
  <c r="Q48" i="56"/>
  <c r="K48" i="56"/>
  <c r="R48" i="56"/>
  <c r="P36" i="56"/>
  <c r="Q36" i="56"/>
  <c r="K36" i="56"/>
  <c r="R36" i="56"/>
  <c r="R57" i="56"/>
  <c r="P57" i="56"/>
  <c r="N57" i="56"/>
  <c r="K41" i="56"/>
  <c r="R41" i="56"/>
  <c r="Q39" i="56"/>
  <c r="K53" i="56"/>
  <c r="R53" i="56"/>
  <c r="P53" i="56"/>
  <c r="P30" i="56"/>
  <c r="Q30" i="56"/>
  <c r="N30" i="56"/>
  <c r="R30" i="56"/>
  <c r="K30" i="56"/>
  <c r="L27" i="56"/>
  <c r="K27" i="56"/>
  <c r="N40" i="56"/>
  <c r="O40" i="56"/>
  <c r="K38" i="56"/>
  <c r="K40" i="56"/>
  <c r="P49" i="56"/>
  <c r="Q49" i="56"/>
  <c r="K49" i="56"/>
  <c r="K44" i="56"/>
  <c r="P44" i="56"/>
  <c r="L43" i="56"/>
  <c r="P32" i="56"/>
  <c r="Q32" i="56"/>
  <c r="K32" i="56"/>
  <c r="R32" i="56"/>
  <c r="R59" i="56"/>
  <c r="Q57" i="56"/>
  <c r="P47" i="56"/>
  <c r="Q47" i="56"/>
  <c r="R47" i="56"/>
  <c r="K47" i="56"/>
  <c r="R15" i="56"/>
  <c r="P15" i="56"/>
  <c r="Q15" i="56"/>
  <c r="K15" i="56"/>
  <c r="P46" i="56"/>
  <c r="Q46" i="56"/>
  <c r="R46" i="56"/>
  <c r="K46" i="56"/>
  <c r="M38" i="56"/>
  <c r="R38" i="56"/>
  <c r="Q41" i="56"/>
  <c r="N51" i="56"/>
  <c r="N46" i="56"/>
  <c r="O46" i="56"/>
  <c r="N41" i="56"/>
  <c r="O41" i="56"/>
  <c r="Q34" i="56"/>
  <c r="O19" i="56"/>
  <c r="N36" i="56"/>
  <c r="O36" i="56"/>
  <c r="P14" i="56"/>
  <c r="P8" i="56"/>
  <c r="K14" i="56"/>
  <c r="R14" i="56"/>
  <c r="R8" i="56"/>
  <c r="Q53" i="56"/>
  <c r="Q10" i="56"/>
  <c r="M8" i="56"/>
  <c r="O9" i="56"/>
  <c r="N8" i="56"/>
  <c r="N20" i="56"/>
  <c r="N18" i="56"/>
  <c r="O18" i="56"/>
  <c r="N44" i="56"/>
  <c r="J4" i="15"/>
  <c r="R44" i="56"/>
  <c r="N38" i="56"/>
  <c r="O38" i="56"/>
  <c r="Q27" i="56"/>
  <c r="P43" i="56"/>
  <c r="Q44" i="56"/>
  <c r="Q43" i="56"/>
  <c r="Q14" i="56"/>
  <c r="Q8" i="56"/>
  <c r="P18" i="56"/>
  <c r="Q20" i="56"/>
  <c r="Q18" i="56"/>
  <c r="O8" i="56"/>
  <c r="O30" i="56"/>
  <c r="N27" i="56"/>
  <c r="O27" i="56"/>
  <c r="K18" i="56"/>
  <c r="R49" i="56"/>
  <c r="P27" i="56"/>
  <c r="Q38" i="56"/>
  <c r="O44" i="56"/>
  <c r="N43" i="56"/>
  <c r="O43" i="56"/>
  <c r="K43" i="56"/>
  <c r="R43" i="56"/>
  <c r="R27" i="56"/>
  <c r="J175" i="15"/>
  <c r="G175" i="15"/>
  <c r="M56" i="55"/>
  <c r="M58" i="55"/>
  <c r="C61" i="55"/>
  <c r="R60" i="55"/>
  <c r="K60" i="55"/>
  <c r="J60" i="55"/>
  <c r="G60" i="55"/>
  <c r="F60" i="55"/>
  <c r="E60" i="55"/>
  <c r="D60" i="55"/>
  <c r="C59" i="55"/>
  <c r="H59" i="55"/>
  <c r="L58" i="55"/>
  <c r="C58" i="55"/>
  <c r="H58" i="55"/>
  <c r="F57" i="55"/>
  <c r="C57" i="55"/>
  <c r="L56" i="55"/>
  <c r="P56" i="55"/>
  <c r="C56" i="55"/>
  <c r="H56" i="55"/>
  <c r="L55" i="55"/>
  <c r="M55" i="55"/>
  <c r="C55" i="55"/>
  <c r="H55" i="55"/>
  <c r="C54" i="55"/>
  <c r="H54" i="55"/>
  <c r="C53" i="55"/>
  <c r="H53" i="55"/>
  <c r="C52" i="55"/>
  <c r="H52" i="55"/>
  <c r="L51" i="55"/>
  <c r="C51" i="55"/>
  <c r="H51" i="55"/>
  <c r="N51" i="55"/>
  <c r="M51" i="55"/>
  <c r="C50" i="55"/>
  <c r="H50" i="55"/>
  <c r="C49" i="55"/>
  <c r="H49" i="55"/>
  <c r="C48" i="55"/>
  <c r="H48" i="55"/>
  <c r="C47" i="55"/>
  <c r="H47" i="55"/>
  <c r="C46" i="55"/>
  <c r="H46" i="55"/>
  <c r="C45" i="55"/>
  <c r="H45" i="55"/>
  <c r="F44" i="55"/>
  <c r="F43" i="55"/>
  <c r="C44" i="55"/>
  <c r="G43" i="55"/>
  <c r="E43" i="55"/>
  <c r="D43" i="55"/>
  <c r="M42" i="55"/>
  <c r="L42" i="55"/>
  <c r="R42" i="55"/>
  <c r="C42" i="55"/>
  <c r="H42" i="55"/>
  <c r="L41" i="55"/>
  <c r="M41" i="55"/>
  <c r="C41" i="55"/>
  <c r="F40" i="55"/>
  <c r="F38" i="55"/>
  <c r="C40" i="55"/>
  <c r="C39" i="55"/>
  <c r="H39" i="55"/>
  <c r="G38" i="55"/>
  <c r="E38" i="55"/>
  <c r="D38" i="55"/>
  <c r="L37" i="55"/>
  <c r="M37" i="55"/>
  <c r="C37" i="55"/>
  <c r="H37" i="55"/>
  <c r="C36" i="55"/>
  <c r="H36" i="55"/>
  <c r="C35" i="55"/>
  <c r="H35" i="55"/>
  <c r="C34" i="55"/>
  <c r="H34" i="55"/>
  <c r="C33" i="55"/>
  <c r="H33" i="55"/>
  <c r="C32" i="55"/>
  <c r="H32" i="55"/>
  <c r="C31" i="55"/>
  <c r="H31" i="55"/>
  <c r="C30" i="55"/>
  <c r="H30" i="55"/>
  <c r="C29" i="55"/>
  <c r="H29" i="55"/>
  <c r="G28" i="55"/>
  <c r="G27" i="55"/>
  <c r="C28" i="55"/>
  <c r="F27" i="55"/>
  <c r="E27" i="55"/>
  <c r="D27" i="55"/>
  <c r="D62" i="55"/>
  <c r="C27" i="55"/>
  <c r="C26" i="55"/>
  <c r="H26" i="55"/>
  <c r="C25" i="55"/>
  <c r="H25" i="55"/>
  <c r="C24" i="55"/>
  <c r="H24" i="55"/>
  <c r="C23" i="55"/>
  <c r="H23" i="55"/>
  <c r="H22" i="55"/>
  <c r="G22" i="55"/>
  <c r="F22" i="55"/>
  <c r="E22" i="55"/>
  <c r="D22" i="55"/>
  <c r="C22" i="55"/>
  <c r="C21" i="55"/>
  <c r="H21" i="55"/>
  <c r="F20" i="55"/>
  <c r="C20" i="55"/>
  <c r="F19" i="55"/>
  <c r="C19" i="55"/>
  <c r="J18" i="55"/>
  <c r="G18" i="55"/>
  <c r="E18" i="55"/>
  <c r="D18" i="55"/>
  <c r="C17" i="55"/>
  <c r="H17" i="55"/>
  <c r="C16" i="55"/>
  <c r="H16" i="55"/>
  <c r="C15" i="55"/>
  <c r="H15" i="55"/>
  <c r="C14" i="55"/>
  <c r="H14" i="55"/>
  <c r="C13" i="55"/>
  <c r="H13" i="55"/>
  <c r="C12" i="55"/>
  <c r="H12" i="55"/>
  <c r="C11" i="55"/>
  <c r="H11" i="55"/>
  <c r="H10" i="55"/>
  <c r="G9" i="55"/>
  <c r="G8" i="55"/>
  <c r="C9" i="55"/>
  <c r="F8" i="55"/>
  <c r="E8" i="55"/>
  <c r="E62" i="55"/>
  <c r="D8" i="55"/>
  <c r="H28" i="55"/>
  <c r="G62" i="55"/>
  <c r="H44" i="55"/>
  <c r="J8" i="55"/>
  <c r="H40" i="55"/>
  <c r="H9" i="55"/>
  <c r="H8" i="55"/>
  <c r="H57" i="55"/>
  <c r="H43" i="55"/>
  <c r="N55" i="55"/>
  <c r="N58" i="55"/>
  <c r="O58" i="55"/>
  <c r="N56" i="55"/>
  <c r="N42" i="55"/>
  <c r="N37" i="55"/>
  <c r="C8" i="55"/>
  <c r="F18" i="55"/>
  <c r="F62" i="55"/>
  <c r="H19" i="55"/>
  <c r="J22" i="55"/>
  <c r="C18" i="55"/>
  <c r="H20" i="55"/>
  <c r="H27" i="55"/>
  <c r="R41" i="55"/>
  <c r="C43" i="55"/>
  <c r="C38" i="55"/>
  <c r="C60" i="55"/>
  <c r="C62" i="55"/>
  <c r="R51" i="55"/>
  <c r="H61" i="55"/>
  <c r="Q41" i="55"/>
  <c r="J27" i="55"/>
  <c r="P37" i="55"/>
  <c r="Q37" i="55"/>
  <c r="R37" i="55"/>
  <c r="H41" i="55"/>
  <c r="H38" i="55"/>
  <c r="R55" i="55"/>
  <c r="Q56" i="55"/>
  <c r="M57" i="55"/>
  <c r="L57" i="55"/>
  <c r="P58" i="55"/>
  <c r="Q58" i="55"/>
  <c r="K58" i="55"/>
  <c r="R58" i="55"/>
  <c r="M59" i="55"/>
  <c r="L59" i="55"/>
  <c r="N59" i="55"/>
  <c r="O59" i="55"/>
  <c r="N41" i="55"/>
  <c r="O41" i="55"/>
  <c r="J43" i="55"/>
  <c r="R56" i="55"/>
  <c r="J38" i="55"/>
  <c r="P42" i="55"/>
  <c r="Q42" i="55"/>
  <c r="P51" i="55"/>
  <c r="Q51" i="55"/>
  <c r="P55" i="55"/>
  <c r="Q55" i="55"/>
  <c r="J62" i="55"/>
  <c r="R57" i="55"/>
  <c r="P57" i="55"/>
  <c r="Q57" i="55"/>
  <c r="H60" i="55"/>
  <c r="H18" i="55"/>
  <c r="H62" i="55"/>
  <c r="P59" i="55"/>
  <c r="Q59" i="55"/>
  <c r="K59" i="55"/>
  <c r="R59" i="55"/>
  <c r="K41" i="55"/>
  <c r="N57" i="55"/>
  <c r="N112" i="15"/>
  <c r="N98" i="15"/>
  <c r="M203" i="15"/>
  <c r="N57" i="15"/>
  <c r="N56" i="15"/>
  <c r="N52" i="15"/>
  <c r="N53" i="15"/>
  <c r="N54" i="15"/>
  <c r="N55" i="15"/>
  <c r="N51" i="15"/>
  <c r="N35" i="15"/>
  <c r="G9" i="54"/>
  <c r="F40" i="54"/>
  <c r="L50" i="55"/>
  <c r="M50" i="55"/>
  <c r="C61" i="54"/>
  <c r="H61" i="54"/>
  <c r="H60" i="54"/>
  <c r="R60" i="54"/>
  <c r="K60" i="54"/>
  <c r="J60" i="54"/>
  <c r="G60" i="54"/>
  <c r="F60" i="54"/>
  <c r="E60" i="54"/>
  <c r="D60" i="54"/>
  <c r="C60" i="54"/>
  <c r="C59" i="54"/>
  <c r="H59" i="54"/>
  <c r="L58" i="54"/>
  <c r="C58" i="54"/>
  <c r="H58" i="54"/>
  <c r="L57" i="54"/>
  <c r="M57" i="54"/>
  <c r="F57" i="54"/>
  <c r="C57" i="54"/>
  <c r="M56" i="54"/>
  <c r="L56" i="54"/>
  <c r="P56" i="54"/>
  <c r="C56" i="54"/>
  <c r="H56" i="54"/>
  <c r="C55" i="54"/>
  <c r="H55" i="54"/>
  <c r="C54" i="54"/>
  <c r="H54" i="54"/>
  <c r="C53" i="54"/>
  <c r="H53" i="54"/>
  <c r="C52" i="54"/>
  <c r="H52" i="54"/>
  <c r="C51" i="54"/>
  <c r="H51" i="54"/>
  <c r="M50" i="54"/>
  <c r="L50" i="54"/>
  <c r="P50" i="54"/>
  <c r="C50" i="54"/>
  <c r="H50" i="54"/>
  <c r="C49" i="54"/>
  <c r="H49" i="54"/>
  <c r="C48" i="54"/>
  <c r="H48" i="54"/>
  <c r="C47" i="54"/>
  <c r="H47" i="54"/>
  <c r="C46" i="54"/>
  <c r="H46" i="54"/>
  <c r="C45" i="54"/>
  <c r="H45" i="54"/>
  <c r="F44" i="54"/>
  <c r="C44" i="54"/>
  <c r="H44" i="54"/>
  <c r="J43" i="54"/>
  <c r="G43" i="54"/>
  <c r="E43" i="54"/>
  <c r="D43" i="54"/>
  <c r="M42" i="54"/>
  <c r="L42" i="54"/>
  <c r="P42" i="54"/>
  <c r="C42" i="54"/>
  <c r="H42" i="54"/>
  <c r="C41" i="54"/>
  <c r="H41" i="54"/>
  <c r="C40" i="54"/>
  <c r="H40" i="54"/>
  <c r="C39" i="54"/>
  <c r="H39" i="54"/>
  <c r="G38" i="54"/>
  <c r="F38" i="54"/>
  <c r="E38" i="54"/>
  <c r="D38" i="54"/>
  <c r="M37" i="54"/>
  <c r="L37" i="54"/>
  <c r="P37" i="54"/>
  <c r="C37" i="54"/>
  <c r="H37" i="54"/>
  <c r="C36" i="54"/>
  <c r="H36" i="54"/>
  <c r="C35" i="54"/>
  <c r="H35" i="54"/>
  <c r="C34" i="54"/>
  <c r="H34" i="54"/>
  <c r="C33" i="54"/>
  <c r="H33" i="54"/>
  <c r="C32" i="54"/>
  <c r="H32" i="54"/>
  <c r="C31" i="54"/>
  <c r="H31" i="54"/>
  <c r="J27" i="54"/>
  <c r="C30" i="54"/>
  <c r="H30" i="54"/>
  <c r="C29" i="54"/>
  <c r="H29" i="54"/>
  <c r="G28" i="54"/>
  <c r="G27" i="54"/>
  <c r="C28" i="54"/>
  <c r="F27" i="54"/>
  <c r="E27" i="54"/>
  <c r="D27" i="54"/>
  <c r="D62" i="54"/>
  <c r="C27" i="54"/>
  <c r="C26" i="54"/>
  <c r="H26" i="54"/>
  <c r="C25" i="54"/>
  <c r="H25" i="54"/>
  <c r="C24" i="54"/>
  <c r="H24" i="54"/>
  <c r="C23" i="54"/>
  <c r="H23" i="54"/>
  <c r="J22" i="54"/>
  <c r="G22" i="54"/>
  <c r="F22" i="54"/>
  <c r="E22" i="54"/>
  <c r="D22" i="54"/>
  <c r="C22" i="54"/>
  <c r="C21" i="54"/>
  <c r="H21" i="54"/>
  <c r="F20" i="54"/>
  <c r="C20" i="54"/>
  <c r="F19" i="54"/>
  <c r="C19" i="54"/>
  <c r="G18" i="54"/>
  <c r="E18" i="54"/>
  <c r="D18" i="54"/>
  <c r="C17" i="54"/>
  <c r="H17" i="54"/>
  <c r="C16" i="54"/>
  <c r="H16" i="54"/>
  <c r="C15" i="54"/>
  <c r="H15" i="54"/>
  <c r="C14" i="54"/>
  <c r="H14" i="54"/>
  <c r="C13" i="54"/>
  <c r="H13" i="54"/>
  <c r="C12" i="54"/>
  <c r="H12" i="54"/>
  <c r="C11" i="54"/>
  <c r="H11" i="54"/>
  <c r="H10" i="54"/>
  <c r="C9" i="54"/>
  <c r="H9" i="54"/>
  <c r="G8" i="54"/>
  <c r="F8" i="54"/>
  <c r="E8" i="54"/>
  <c r="D8" i="54"/>
  <c r="C8" i="54"/>
  <c r="H28" i="54"/>
  <c r="F43" i="54"/>
  <c r="P50" i="55"/>
  <c r="Q50" i="55"/>
  <c r="K50" i="55"/>
  <c r="N50" i="55"/>
  <c r="O50" i="55"/>
  <c r="R50" i="55"/>
  <c r="H57" i="54"/>
  <c r="N57" i="54"/>
  <c r="G62" i="54"/>
  <c r="N58" i="54"/>
  <c r="O58" i="54"/>
  <c r="N50" i="54"/>
  <c r="O50" i="54"/>
  <c r="R57" i="54"/>
  <c r="N56" i="54"/>
  <c r="P57" i="54"/>
  <c r="Q57" i="54"/>
  <c r="Q50" i="54"/>
  <c r="Q42" i="54"/>
  <c r="N42" i="54"/>
  <c r="Q37" i="54"/>
  <c r="N37" i="54"/>
  <c r="R37" i="54"/>
  <c r="J8" i="54"/>
  <c r="J18" i="54"/>
  <c r="C18" i="54"/>
  <c r="H20" i="54"/>
  <c r="H8" i="54"/>
  <c r="H22" i="54"/>
  <c r="F18" i="54"/>
  <c r="H19" i="54"/>
  <c r="H38" i="54"/>
  <c r="M41" i="54"/>
  <c r="L41" i="54"/>
  <c r="P58" i="54"/>
  <c r="K58" i="54"/>
  <c r="M51" i="54"/>
  <c r="L51" i="54"/>
  <c r="N51" i="54"/>
  <c r="Q56" i="54"/>
  <c r="M58" i="54"/>
  <c r="Q58" i="54"/>
  <c r="R58" i="54"/>
  <c r="E62" i="54"/>
  <c r="H27" i="54"/>
  <c r="C38" i="54"/>
  <c r="C43" i="54"/>
  <c r="C62" i="54"/>
  <c r="R42" i="54"/>
  <c r="M55" i="54"/>
  <c r="L55" i="54"/>
  <c r="J38" i="54"/>
  <c r="K50" i="54"/>
  <c r="R50" i="54"/>
  <c r="R56" i="54"/>
  <c r="M59" i="54"/>
  <c r="L59" i="54"/>
  <c r="H43" i="54"/>
  <c r="F62" i="54"/>
  <c r="J62" i="54"/>
  <c r="P59" i="54"/>
  <c r="R59" i="54"/>
  <c r="K59" i="54"/>
  <c r="N59" i="54"/>
  <c r="O59" i="54"/>
  <c r="R55" i="54"/>
  <c r="P55" i="54"/>
  <c r="Q55" i="54"/>
  <c r="P41" i="54"/>
  <c r="Q41" i="54"/>
  <c r="N41" i="54"/>
  <c r="O41" i="54"/>
  <c r="R41" i="54"/>
  <c r="K41" i="54"/>
  <c r="Q59" i="54"/>
  <c r="R51" i="54"/>
  <c r="P51" i="54"/>
  <c r="H18" i="54"/>
  <c r="H62" i="54"/>
  <c r="Q51" i="54"/>
  <c r="N55" i="54"/>
  <c r="J38" i="53"/>
  <c r="F20" i="53"/>
  <c r="C20" i="53"/>
  <c r="H20" i="53"/>
  <c r="F19" i="53"/>
  <c r="G9" i="53"/>
  <c r="M51" i="53"/>
  <c r="L55" i="53"/>
  <c r="M42" i="53"/>
  <c r="C61" i="53"/>
  <c r="H61" i="53"/>
  <c r="R60" i="53"/>
  <c r="K60" i="53"/>
  <c r="J60" i="53"/>
  <c r="H60" i="53"/>
  <c r="G60" i="53"/>
  <c r="F60" i="53"/>
  <c r="E60" i="53"/>
  <c r="D60" i="53"/>
  <c r="C60" i="53"/>
  <c r="L59" i="53"/>
  <c r="M59" i="53"/>
  <c r="C59" i="53"/>
  <c r="H59" i="53"/>
  <c r="C58" i="53"/>
  <c r="H58" i="53"/>
  <c r="M57" i="53"/>
  <c r="L57" i="53"/>
  <c r="P57" i="53"/>
  <c r="F57" i="53"/>
  <c r="C57" i="53"/>
  <c r="H57" i="53"/>
  <c r="C56" i="53"/>
  <c r="H56" i="53"/>
  <c r="C55" i="53"/>
  <c r="H55" i="53"/>
  <c r="C54" i="53"/>
  <c r="H54" i="53"/>
  <c r="C53" i="53"/>
  <c r="H53" i="53"/>
  <c r="C52" i="53"/>
  <c r="H52" i="53"/>
  <c r="L51" i="53"/>
  <c r="P51" i="53"/>
  <c r="C51" i="53"/>
  <c r="C50" i="53"/>
  <c r="H50" i="53"/>
  <c r="C49" i="53"/>
  <c r="H49" i="53"/>
  <c r="C48" i="53"/>
  <c r="H48" i="53"/>
  <c r="C47" i="53"/>
  <c r="H47" i="53"/>
  <c r="C46" i="53"/>
  <c r="H46" i="53"/>
  <c r="C45" i="53"/>
  <c r="H45" i="53"/>
  <c r="F44" i="53"/>
  <c r="C44" i="53"/>
  <c r="H44" i="53"/>
  <c r="G43" i="53"/>
  <c r="E43" i="53"/>
  <c r="D43" i="53"/>
  <c r="L42" i="53"/>
  <c r="C42" i="53"/>
  <c r="H42" i="53"/>
  <c r="C41" i="53"/>
  <c r="H41" i="53"/>
  <c r="C40" i="53"/>
  <c r="H40" i="53"/>
  <c r="C39" i="53"/>
  <c r="H39" i="53"/>
  <c r="G38" i="53"/>
  <c r="F38" i="53"/>
  <c r="E38" i="53"/>
  <c r="D38" i="53"/>
  <c r="C38" i="53"/>
  <c r="L37" i="53"/>
  <c r="M37" i="53"/>
  <c r="R37" i="53"/>
  <c r="P37" i="53"/>
  <c r="C37" i="53"/>
  <c r="H37" i="53"/>
  <c r="N37" i="53"/>
  <c r="C36" i="53"/>
  <c r="H36" i="53"/>
  <c r="C35" i="53"/>
  <c r="H35" i="53"/>
  <c r="C34" i="53"/>
  <c r="H34" i="53"/>
  <c r="C33" i="53"/>
  <c r="H33" i="53"/>
  <c r="C32" i="53"/>
  <c r="H32" i="53"/>
  <c r="C31" i="53"/>
  <c r="H31" i="53"/>
  <c r="C30" i="53"/>
  <c r="H30" i="53"/>
  <c r="C28" i="53"/>
  <c r="C29" i="53"/>
  <c r="C27" i="53"/>
  <c r="H29" i="53"/>
  <c r="G28" i="53"/>
  <c r="G27" i="53"/>
  <c r="F27" i="53"/>
  <c r="E27" i="53"/>
  <c r="D27" i="53"/>
  <c r="D62" i="53"/>
  <c r="C26" i="53"/>
  <c r="H26" i="53"/>
  <c r="C25" i="53"/>
  <c r="H25" i="53"/>
  <c r="C24" i="53"/>
  <c r="H24" i="53"/>
  <c r="C23" i="53"/>
  <c r="H23" i="53"/>
  <c r="G22" i="53"/>
  <c r="F22" i="53"/>
  <c r="E22" i="53"/>
  <c r="D22" i="53"/>
  <c r="C21" i="53"/>
  <c r="H21" i="53"/>
  <c r="C19" i="53"/>
  <c r="G18" i="53"/>
  <c r="F18" i="53"/>
  <c r="E18" i="53"/>
  <c r="D18" i="53"/>
  <c r="C17" i="53"/>
  <c r="H17" i="53"/>
  <c r="C16" i="53"/>
  <c r="H16" i="53"/>
  <c r="C15" i="53"/>
  <c r="H15" i="53"/>
  <c r="C14" i="53"/>
  <c r="H14" i="53"/>
  <c r="C13" i="53"/>
  <c r="H13" i="53"/>
  <c r="C12" i="53"/>
  <c r="H12" i="53"/>
  <c r="C11" i="53"/>
  <c r="H11" i="53"/>
  <c r="H10" i="53"/>
  <c r="G8" i="53"/>
  <c r="C9" i="53"/>
  <c r="C8" i="53"/>
  <c r="F8" i="53"/>
  <c r="E8" i="53"/>
  <c r="D8" i="53"/>
  <c r="H19" i="53"/>
  <c r="H18" i="53"/>
  <c r="J22" i="53"/>
  <c r="J43" i="53"/>
  <c r="J27" i="53"/>
  <c r="J18" i="53"/>
  <c r="F43" i="53"/>
  <c r="F62" i="53"/>
  <c r="H28" i="53"/>
  <c r="H27" i="53"/>
  <c r="G62" i="53"/>
  <c r="M55" i="53"/>
  <c r="R55" i="53"/>
  <c r="N57" i="53"/>
  <c r="P42" i="53"/>
  <c r="Q42" i="53"/>
  <c r="R42" i="53"/>
  <c r="C22" i="53"/>
  <c r="R51" i="53"/>
  <c r="Q51" i="53"/>
  <c r="P55" i="53"/>
  <c r="R57" i="53"/>
  <c r="Q57" i="53"/>
  <c r="M50" i="53"/>
  <c r="L50" i="53"/>
  <c r="J8" i="53"/>
  <c r="C18" i="53"/>
  <c r="H9" i="53"/>
  <c r="H22" i="53"/>
  <c r="M58" i="53"/>
  <c r="L58" i="53"/>
  <c r="R59" i="53"/>
  <c r="K59" i="53"/>
  <c r="P59" i="53"/>
  <c r="Q59" i="53"/>
  <c r="M41" i="53"/>
  <c r="L41" i="53"/>
  <c r="H51" i="53"/>
  <c r="N51" i="53"/>
  <c r="C43" i="53"/>
  <c r="M56" i="53"/>
  <c r="L56" i="53"/>
  <c r="N56" i="53"/>
  <c r="N59" i="53"/>
  <c r="O59" i="53"/>
  <c r="E62" i="53"/>
  <c r="Q37" i="53"/>
  <c r="N42" i="53"/>
  <c r="N55" i="53"/>
  <c r="H38" i="53"/>
  <c r="J62" i="53"/>
  <c r="Q55" i="53"/>
  <c r="P41" i="53"/>
  <c r="K41" i="53"/>
  <c r="R41" i="53"/>
  <c r="Q41" i="53"/>
  <c r="P50" i="53"/>
  <c r="Q50" i="53"/>
  <c r="N50" i="53"/>
  <c r="O50" i="53"/>
  <c r="K50" i="53"/>
  <c r="R50" i="53"/>
  <c r="P58" i="53"/>
  <c r="N58" i="53"/>
  <c r="O58" i="53"/>
  <c r="K58" i="53"/>
  <c r="R58" i="53"/>
  <c r="N41" i="53"/>
  <c r="O41" i="53"/>
  <c r="H43" i="53"/>
  <c r="C62" i="53"/>
  <c r="R56" i="53"/>
  <c r="P56" i="53"/>
  <c r="Q58" i="53"/>
  <c r="H8" i="53"/>
  <c r="H62" i="53"/>
  <c r="Q56" i="53"/>
  <c r="J85" i="15"/>
  <c r="F43" i="47"/>
  <c r="T64" i="47"/>
  <c r="G25" i="47"/>
  <c r="T25" i="47"/>
  <c r="T26" i="47"/>
  <c r="T27" i="47"/>
  <c r="T28" i="47"/>
  <c r="T29" i="47"/>
  <c r="T30" i="47"/>
  <c r="T31" i="47"/>
  <c r="T32" i="47"/>
  <c r="U25" i="47"/>
  <c r="L50" i="51"/>
  <c r="P50" i="51"/>
  <c r="L51" i="51"/>
  <c r="P51" i="51"/>
  <c r="L55" i="51"/>
  <c r="P55" i="51"/>
  <c r="L56" i="51"/>
  <c r="P56" i="51"/>
  <c r="M56" i="51"/>
  <c r="Q56" i="51"/>
  <c r="L57" i="51"/>
  <c r="P57" i="51"/>
  <c r="L58" i="51"/>
  <c r="P58" i="51"/>
  <c r="L59" i="51"/>
  <c r="P59" i="51"/>
  <c r="L41" i="51"/>
  <c r="P41" i="51"/>
  <c r="L42" i="51"/>
  <c r="P42" i="51"/>
  <c r="M50" i="51"/>
  <c r="Q50" i="51"/>
  <c r="M51" i="51"/>
  <c r="Q51" i="51"/>
  <c r="M55" i="51"/>
  <c r="Q55" i="51"/>
  <c r="M57" i="51"/>
  <c r="Q57" i="51"/>
  <c r="M58" i="51"/>
  <c r="Q58" i="51"/>
  <c r="M59" i="51"/>
  <c r="Q59" i="51"/>
  <c r="R58" i="51"/>
  <c r="R55" i="51"/>
  <c r="R50" i="51"/>
  <c r="M42" i="51"/>
  <c r="R42" i="51"/>
  <c r="M41" i="51"/>
  <c r="R60" i="51"/>
  <c r="R59" i="51"/>
  <c r="R57" i="51"/>
  <c r="R56" i="51"/>
  <c r="R51" i="51"/>
  <c r="Q42" i="51"/>
  <c r="R41" i="51"/>
  <c r="Q41" i="51"/>
  <c r="J757" i="15"/>
  <c r="J22" i="51"/>
  <c r="C41" i="51"/>
  <c r="H41" i="51"/>
  <c r="K41" i="51"/>
  <c r="I37" i="51"/>
  <c r="C61" i="51"/>
  <c r="H61" i="51"/>
  <c r="K60" i="51"/>
  <c r="J60" i="51"/>
  <c r="G60" i="51"/>
  <c r="F60" i="51"/>
  <c r="E60" i="51"/>
  <c r="D60" i="51"/>
  <c r="C59" i="51"/>
  <c r="H59" i="51"/>
  <c r="C58" i="51"/>
  <c r="H58" i="51"/>
  <c r="F57" i="51"/>
  <c r="C57" i="51"/>
  <c r="C56" i="51"/>
  <c r="H56" i="51"/>
  <c r="C55" i="51"/>
  <c r="H55" i="51"/>
  <c r="C54" i="51"/>
  <c r="H54" i="51"/>
  <c r="C53" i="51"/>
  <c r="H53" i="51"/>
  <c r="C52" i="51"/>
  <c r="H52" i="51"/>
  <c r="C51" i="51"/>
  <c r="H51" i="51"/>
  <c r="C50" i="51"/>
  <c r="H50" i="51"/>
  <c r="C49" i="51"/>
  <c r="H49" i="51"/>
  <c r="C48" i="51"/>
  <c r="H48" i="51"/>
  <c r="C47" i="51"/>
  <c r="H47" i="51"/>
  <c r="C46" i="51"/>
  <c r="H46" i="51"/>
  <c r="C45" i="51"/>
  <c r="H45" i="51"/>
  <c r="F44" i="51"/>
  <c r="C44" i="51"/>
  <c r="G43" i="51"/>
  <c r="E43" i="51"/>
  <c r="D43" i="51"/>
  <c r="C42" i="51"/>
  <c r="H42" i="51"/>
  <c r="C40" i="51"/>
  <c r="H40" i="51"/>
  <c r="C39" i="51"/>
  <c r="H39" i="51"/>
  <c r="J38" i="51"/>
  <c r="G38" i="51"/>
  <c r="F38" i="51"/>
  <c r="E38" i="51"/>
  <c r="D38" i="51"/>
  <c r="C37" i="51"/>
  <c r="H37" i="51"/>
  <c r="C36" i="51"/>
  <c r="H36" i="51"/>
  <c r="C35" i="51"/>
  <c r="H35" i="51"/>
  <c r="C34" i="51"/>
  <c r="H34" i="51"/>
  <c r="C33" i="51"/>
  <c r="H33" i="51"/>
  <c r="C32" i="51"/>
  <c r="H32" i="51"/>
  <c r="C31" i="51"/>
  <c r="H31" i="51"/>
  <c r="C30" i="51"/>
  <c r="H30" i="51"/>
  <c r="C29" i="51"/>
  <c r="H29" i="51"/>
  <c r="G28" i="51"/>
  <c r="G27" i="51"/>
  <c r="C28" i="51"/>
  <c r="C27" i="51"/>
  <c r="F27" i="51"/>
  <c r="E27" i="51"/>
  <c r="D27" i="51"/>
  <c r="D62" i="51"/>
  <c r="C26" i="51"/>
  <c r="H26" i="51"/>
  <c r="C25" i="51"/>
  <c r="H25" i="51"/>
  <c r="C24" i="51"/>
  <c r="H24" i="51"/>
  <c r="C23" i="51"/>
  <c r="H23" i="51"/>
  <c r="G22" i="51"/>
  <c r="F22" i="51"/>
  <c r="E22" i="51"/>
  <c r="D22" i="51"/>
  <c r="C21" i="51"/>
  <c r="H21" i="51"/>
  <c r="F20" i="51"/>
  <c r="C20" i="51"/>
  <c r="F19" i="51"/>
  <c r="C19" i="51"/>
  <c r="G18" i="51"/>
  <c r="E18" i="51"/>
  <c r="D18" i="51"/>
  <c r="C17" i="51"/>
  <c r="H17" i="51"/>
  <c r="C16" i="51"/>
  <c r="H16" i="51"/>
  <c r="C15" i="51"/>
  <c r="H15" i="51"/>
  <c r="C14" i="51"/>
  <c r="H14" i="51"/>
  <c r="C13" i="51"/>
  <c r="H13" i="51"/>
  <c r="C12" i="51"/>
  <c r="H12" i="51"/>
  <c r="C11" i="51"/>
  <c r="H11" i="51"/>
  <c r="H10" i="51"/>
  <c r="G9" i="51"/>
  <c r="C9" i="51"/>
  <c r="F8" i="51"/>
  <c r="E8" i="51"/>
  <c r="D8" i="51"/>
  <c r="F18" i="51"/>
  <c r="J8" i="51"/>
  <c r="H57" i="51"/>
  <c r="N57" i="51"/>
  <c r="L37" i="51"/>
  <c r="M37" i="51"/>
  <c r="H9" i="51"/>
  <c r="H8" i="51"/>
  <c r="J43" i="51"/>
  <c r="C43" i="51"/>
  <c r="F43" i="51"/>
  <c r="F62" i="51"/>
  <c r="N42" i="51"/>
  <c r="J27" i="51"/>
  <c r="E62" i="51"/>
  <c r="C18" i="51"/>
  <c r="H19" i="51"/>
  <c r="H20" i="51"/>
  <c r="H28" i="51"/>
  <c r="H27" i="51"/>
  <c r="C38" i="51"/>
  <c r="H44" i="51"/>
  <c r="N55" i="51"/>
  <c r="N59" i="51"/>
  <c r="O59" i="51"/>
  <c r="N56" i="51"/>
  <c r="N58" i="51"/>
  <c r="O58" i="51"/>
  <c r="N41" i="51"/>
  <c r="O41" i="51"/>
  <c r="H38" i="51"/>
  <c r="K58" i="51"/>
  <c r="H22" i="51"/>
  <c r="H60" i="51"/>
  <c r="K50" i="51"/>
  <c r="N50" i="51"/>
  <c r="O50" i="51"/>
  <c r="N51" i="51"/>
  <c r="K59" i="51"/>
  <c r="C22" i="51"/>
  <c r="C60" i="51"/>
  <c r="C8" i="51"/>
  <c r="G8" i="51"/>
  <c r="G62" i="51"/>
  <c r="J18" i="51"/>
  <c r="P20" i="50"/>
  <c r="P21" i="50"/>
  <c r="Q12" i="50"/>
  <c r="Q14" i="50"/>
  <c r="Q16" i="50"/>
  <c r="P26" i="50"/>
  <c r="P37" i="51"/>
  <c r="Q37" i="51"/>
  <c r="R37" i="51"/>
  <c r="N37" i="51"/>
  <c r="H43" i="51"/>
  <c r="H18" i="51"/>
  <c r="C62" i="51"/>
  <c r="J62" i="51"/>
  <c r="H62" i="51"/>
  <c r="Q15" i="50"/>
  <c r="Q13" i="50"/>
  <c r="F20" i="50"/>
  <c r="G9" i="50"/>
  <c r="P9" i="50"/>
  <c r="P10" i="50"/>
  <c r="L57" i="50"/>
  <c r="L37" i="50"/>
  <c r="C61" i="50"/>
  <c r="H61" i="50"/>
  <c r="K60" i="50"/>
  <c r="J60" i="50"/>
  <c r="G60" i="50"/>
  <c r="F60" i="50"/>
  <c r="E60" i="50"/>
  <c r="D60" i="50"/>
  <c r="C60" i="50"/>
  <c r="L59" i="50"/>
  <c r="C59" i="50"/>
  <c r="H59" i="50"/>
  <c r="L58" i="50"/>
  <c r="C58" i="50"/>
  <c r="H58" i="50"/>
  <c r="F57" i="50"/>
  <c r="C57" i="50"/>
  <c r="L56" i="50"/>
  <c r="C56" i="50"/>
  <c r="H56" i="50"/>
  <c r="L55" i="50"/>
  <c r="C55" i="50"/>
  <c r="H55" i="50"/>
  <c r="C54" i="50"/>
  <c r="H54" i="50"/>
  <c r="C53" i="50"/>
  <c r="H53" i="50"/>
  <c r="C52" i="50"/>
  <c r="H52" i="50"/>
  <c r="L51" i="50"/>
  <c r="C51" i="50"/>
  <c r="H51" i="50"/>
  <c r="L50" i="50"/>
  <c r="C50" i="50"/>
  <c r="H50" i="50"/>
  <c r="C49" i="50"/>
  <c r="H49" i="50"/>
  <c r="C48" i="50"/>
  <c r="H48" i="50"/>
  <c r="C47" i="50"/>
  <c r="H47" i="50"/>
  <c r="C46" i="50"/>
  <c r="H46" i="50"/>
  <c r="C45" i="50"/>
  <c r="H45" i="50"/>
  <c r="J43" i="50"/>
  <c r="F44" i="50"/>
  <c r="C44" i="50"/>
  <c r="H44" i="50"/>
  <c r="G43" i="50"/>
  <c r="E43" i="50"/>
  <c r="D43" i="50"/>
  <c r="L42" i="50"/>
  <c r="C42" i="50"/>
  <c r="H42" i="50"/>
  <c r="C41" i="50"/>
  <c r="H41" i="50"/>
  <c r="C40" i="50"/>
  <c r="H40" i="50"/>
  <c r="C39" i="50"/>
  <c r="H39" i="50"/>
  <c r="J38" i="50"/>
  <c r="G38" i="50"/>
  <c r="F38" i="50"/>
  <c r="E38" i="50"/>
  <c r="D38" i="50"/>
  <c r="C37" i="50"/>
  <c r="H37" i="50"/>
  <c r="C36" i="50"/>
  <c r="H36" i="50"/>
  <c r="C35" i="50"/>
  <c r="H35" i="50"/>
  <c r="C34" i="50"/>
  <c r="H34" i="50"/>
  <c r="C33" i="50"/>
  <c r="H33" i="50"/>
  <c r="C32" i="50"/>
  <c r="H32" i="50"/>
  <c r="C31" i="50"/>
  <c r="H31" i="50"/>
  <c r="C30" i="50"/>
  <c r="C28" i="50"/>
  <c r="C29" i="50"/>
  <c r="C27" i="50"/>
  <c r="H29" i="50"/>
  <c r="G28" i="50"/>
  <c r="G27" i="50"/>
  <c r="J27" i="50"/>
  <c r="F27" i="50"/>
  <c r="E27" i="50"/>
  <c r="D27" i="50"/>
  <c r="D62" i="50"/>
  <c r="C26" i="50"/>
  <c r="H26" i="50"/>
  <c r="C25" i="50"/>
  <c r="H25" i="50"/>
  <c r="C24" i="50"/>
  <c r="H24" i="50"/>
  <c r="C23" i="50"/>
  <c r="H23" i="50"/>
  <c r="H22" i="50"/>
  <c r="J22" i="50"/>
  <c r="G22" i="50"/>
  <c r="F22" i="50"/>
  <c r="E22" i="50"/>
  <c r="D22" i="50"/>
  <c r="C22" i="50"/>
  <c r="C21" i="50"/>
  <c r="H21" i="50"/>
  <c r="C20" i="50"/>
  <c r="C19" i="50"/>
  <c r="C18" i="50"/>
  <c r="F19" i="50"/>
  <c r="F18" i="50"/>
  <c r="J18" i="50"/>
  <c r="G18" i="50"/>
  <c r="E18" i="50"/>
  <c r="D18" i="50"/>
  <c r="C17" i="50"/>
  <c r="H17" i="50"/>
  <c r="C16" i="50"/>
  <c r="H16" i="50"/>
  <c r="C15" i="50"/>
  <c r="H15" i="50"/>
  <c r="C14" i="50"/>
  <c r="H14" i="50"/>
  <c r="C13" i="50"/>
  <c r="H13" i="50"/>
  <c r="C12" i="50"/>
  <c r="H12" i="50"/>
  <c r="C11" i="50"/>
  <c r="H11" i="50"/>
  <c r="H10" i="50"/>
  <c r="J8" i="50"/>
  <c r="C9" i="50"/>
  <c r="H9" i="50"/>
  <c r="G8" i="50"/>
  <c r="F8" i="50"/>
  <c r="E8" i="50"/>
  <c r="E62" i="50"/>
  <c r="D8" i="50"/>
  <c r="C8" i="50"/>
  <c r="G62" i="50"/>
  <c r="F43" i="50"/>
  <c r="F62" i="50"/>
  <c r="H57" i="50"/>
  <c r="M57" i="50"/>
  <c r="H28" i="50"/>
  <c r="J62" i="50"/>
  <c r="L41" i="50"/>
  <c r="K41" i="50"/>
  <c r="M50" i="50"/>
  <c r="N50" i="50"/>
  <c r="M58" i="50"/>
  <c r="N58" i="50"/>
  <c r="M42" i="50"/>
  <c r="M51" i="50"/>
  <c r="M59" i="50"/>
  <c r="N59" i="50"/>
  <c r="M37" i="50"/>
  <c r="M56" i="50"/>
  <c r="H8" i="50"/>
  <c r="K50" i="50"/>
  <c r="M55" i="50"/>
  <c r="K59" i="50"/>
  <c r="H38" i="50"/>
  <c r="K58" i="50"/>
  <c r="H19" i="50"/>
  <c r="H30" i="50"/>
  <c r="C38" i="50"/>
  <c r="H60" i="50"/>
  <c r="H20" i="50"/>
  <c r="C43" i="50"/>
  <c r="C62" i="50"/>
  <c r="H43" i="50"/>
  <c r="M41" i="50"/>
  <c r="N41" i="50"/>
  <c r="H18" i="50"/>
  <c r="H27" i="50"/>
  <c r="H62" i="50"/>
  <c r="P27" i="50"/>
  <c r="J18" i="49"/>
  <c r="L41" i="49"/>
  <c r="C41" i="49"/>
  <c r="H41" i="49"/>
  <c r="K41" i="49"/>
  <c r="L56" i="49"/>
  <c r="D27" i="49"/>
  <c r="D62" i="49"/>
  <c r="J60" i="49"/>
  <c r="C61" i="49"/>
  <c r="K60" i="49"/>
  <c r="G60" i="49"/>
  <c r="F60" i="49"/>
  <c r="E60" i="49"/>
  <c r="D60" i="49"/>
  <c r="L59" i="49"/>
  <c r="C59" i="49"/>
  <c r="H59" i="49"/>
  <c r="M59" i="49"/>
  <c r="N59" i="49"/>
  <c r="L58" i="49"/>
  <c r="C58" i="49"/>
  <c r="H58" i="49"/>
  <c r="M58" i="49"/>
  <c r="N58" i="49"/>
  <c r="L57" i="49"/>
  <c r="F57" i="49"/>
  <c r="C57" i="49"/>
  <c r="H57" i="49"/>
  <c r="M57" i="49"/>
  <c r="C56" i="49"/>
  <c r="H56" i="49"/>
  <c r="L55" i="49"/>
  <c r="C55" i="49"/>
  <c r="H55" i="49"/>
  <c r="M55" i="49"/>
  <c r="C54" i="49"/>
  <c r="H54" i="49"/>
  <c r="C53" i="49"/>
  <c r="H53" i="49"/>
  <c r="C52" i="49"/>
  <c r="H52" i="49"/>
  <c r="L51" i="49"/>
  <c r="C51" i="49"/>
  <c r="H51" i="49"/>
  <c r="L50" i="49"/>
  <c r="C50" i="49"/>
  <c r="H50" i="49"/>
  <c r="K50" i="49"/>
  <c r="C49" i="49"/>
  <c r="H49" i="49"/>
  <c r="C48" i="49"/>
  <c r="H48" i="49"/>
  <c r="C47" i="49"/>
  <c r="H47" i="49"/>
  <c r="C46" i="49"/>
  <c r="H46" i="49"/>
  <c r="C45" i="49"/>
  <c r="H45" i="49"/>
  <c r="F44" i="49"/>
  <c r="C44" i="49"/>
  <c r="G43" i="49"/>
  <c r="E43" i="49"/>
  <c r="D43" i="49"/>
  <c r="L42" i="49"/>
  <c r="C42" i="49"/>
  <c r="H42" i="49"/>
  <c r="M42" i="49"/>
  <c r="C40" i="49"/>
  <c r="H40" i="49"/>
  <c r="C39" i="49"/>
  <c r="H39" i="49"/>
  <c r="G38" i="49"/>
  <c r="F38" i="49"/>
  <c r="E38" i="49"/>
  <c r="D38" i="49"/>
  <c r="C38" i="49"/>
  <c r="L37" i="49"/>
  <c r="C37" i="49"/>
  <c r="H37" i="49"/>
  <c r="C36" i="49"/>
  <c r="H36" i="49"/>
  <c r="C35" i="49"/>
  <c r="H35" i="49"/>
  <c r="C34" i="49"/>
  <c r="H34" i="49"/>
  <c r="C33" i="49"/>
  <c r="H33" i="49"/>
  <c r="C32" i="49"/>
  <c r="H32" i="49"/>
  <c r="C31" i="49"/>
  <c r="H31" i="49"/>
  <c r="C30" i="49"/>
  <c r="H30" i="49"/>
  <c r="C29" i="49"/>
  <c r="H29" i="49"/>
  <c r="G28" i="49"/>
  <c r="G27" i="49"/>
  <c r="C28" i="49"/>
  <c r="F27" i="49"/>
  <c r="E27" i="49"/>
  <c r="C26" i="49"/>
  <c r="H26" i="49"/>
  <c r="C25" i="49"/>
  <c r="H25" i="49"/>
  <c r="C24" i="49"/>
  <c r="H24" i="49"/>
  <c r="L23" i="49"/>
  <c r="C23" i="49"/>
  <c r="C22" i="49"/>
  <c r="G22" i="49"/>
  <c r="F22" i="49"/>
  <c r="E22" i="49"/>
  <c r="D22" i="49"/>
  <c r="L21" i="49"/>
  <c r="C21" i="49"/>
  <c r="H21" i="49"/>
  <c r="F20" i="49"/>
  <c r="C20" i="49"/>
  <c r="H20" i="49"/>
  <c r="F19" i="49"/>
  <c r="C19" i="49"/>
  <c r="G18" i="49"/>
  <c r="E18" i="49"/>
  <c r="D18" i="49"/>
  <c r="C18" i="49"/>
  <c r="C17" i="49"/>
  <c r="H17" i="49"/>
  <c r="C16" i="49"/>
  <c r="H16" i="49"/>
  <c r="C15" i="49"/>
  <c r="H15" i="49"/>
  <c r="C14" i="49"/>
  <c r="H14" i="49"/>
  <c r="C13" i="49"/>
  <c r="H13" i="49"/>
  <c r="C12" i="49"/>
  <c r="H12" i="49"/>
  <c r="C11" i="49"/>
  <c r="H11" i="49"/>
  <c r="L10" i="49"/>
  <c r="H10" i="49"/>
  <c r="G9" i="49"/>
  <c r="C9" i="49"/>
  <c r="H9" i="49"/>
  <c r="F8" i="49"/>
  <c r="E8" i="49"/>
  <c r="E62" i="49"/>
  <c r="D8" i="49"/>
  <c r="M23" i="53"/>
  <c r="L23" i="53"/>
  <c r="F43" i="49"/>
  <c r="L52" i="49"/>
  <c r="K52" i="49"/>
  <c r="L10" i="50"/>
  <c r="M10" i="50"/>
  <c r="N10" i="50"/>
  <c r="L21" i="50"/>
  <c r="M21" i="50"/>
  <c r="L52" i="50"/>
  <c r="M52" i="50"/>
  <c r="N52" i="50"/>
  <c r="F18" i="49"/>
  <c r="M23" i="51"/>
  <c r="L23" i="51"/>
  <c r="L26" i="49"/>
  <c r="M26" i="49"/>
  <c r="N26" i="49"/>
  <c r="L23" i="50"/>
  <c r="K10" i="49"/>
  <c r="J22" i="49"/>
  <c r="J27" i="49"/>
  <c r="M21" i="49"/>
  <c r="M41" i="49"/>
  <c r="N41" i="49"/>
  <c r="M56" i="49"/>
  <c r="M37" i="49"/>
  <c r="M10" i="49"/>
  <c r="N10" i="49"/>
  <c r="H8" i="49"/>
  <c r="G8" i="49"/>
  <c r="G62" i="49"/>
  <c r="H38" i="49"/>
  <c r="H44" i="49"/>
  <c r="M50" i="49"/>
  <c r="N50" i="49"/>
  <c r="M52" i="49"/>
  <c r="N52" i="49"/>
  <c r="H61" i="49"/>
  <c r="C60" i="49"/>
  <c r="H23" i="49"/>
  <c r="H28" i="49"/>
  <c r="J38" i="49"/>
  <c r="K58" i="49"/>
  <c r="K59" i="49"/>
  <c r="J8" i="49"/>
  <c r="H19" i="49"/>
  <c r="C27" i="49"/>
  <c r="J43" i="49"/>
  <c r="C43" i="49"/>
  <c r="M51" i="49"/>
  <c r="C8" i="49"/>
  <c r="L23" i="55"/>
  <c r="I23" i="56"/>
  <c r="F62" i="49"/>
  <c r="L21" i="55"/>
  <c r="M21" i="55"/>
  <c r="M23" i="55"/>
  <c r="M52" i="53"/>
  <c r="L52" i="53"/>
  <c r="M10" i="53"/>
  <c r="L10" i="53"/>
  <c r="N23" i="53"/>
  <c r="K23" i="53"/>
  <c r="P23" i="53"/>
  <c r="Q23" i="53"/>
  <c r="R23" i="53"/>
  <c r="I21" i="54"/>
  <c r="M21" i="53"/>
  <c r="L21" i="53"/>
  <c r="M23" i="54"/>
  <c r="L23" i="54"/>
  <c r="K26" i="49"/>
  <c r="K10" i="50"/>
  <c r="K52" i="50"/>
  <c r="L26" i="50"/>
  <c r="M52" i="51"/>
  <c r="L52" i="51"/>
  <c r="L10" i="51"/>
  <c r="M10" i="51"/>
  <c r="K23" i="51"/>
  <c r="N23" i="51"/>
  <c r="P23" i="51"/>
  <c r="Q23" i="51"/>
  <c r="R23" i="51"/>
  <c r="L21" i="51"/>
  <c r="M21" i="51"/>
  <c r="K23" i="50"/>
  <c r="M23" i="50"/>
  <c r="H60" i="49"/>
  <c r="H43" i="49"/>
  <c r="C62" i="49"/>
  <c r="H27" i="49"/>
  <c r="H18" i="49"/>
  <c r="H22" i="49"/>
  <c r="K23" i="49"/>
  <c r="M23" i="49"/>
  <c r="J62" i="49"/>
  <c r="S39" i="45"/>
  <c r="S40" i="45"/>
  <c r="S41" i="45"/>
  <c r="S25" i="45"/>
  <c r="S60" i="45"/>
  <c r="S43" i="45"/>
  <c r="S38" i="45"/>
  <c r="R27" i="45"/>
  <c r="S27" i="45"/>
  <c r="S22" i="45"/>
  <c r="R28" i="45"/>
  <c r="S28" i="45"/>
  <c r="N28" i="45"/>
  <c r="T28" i="45"/>
  <c r="R36" i="45"/>
  <c r="S36" i="45"/>
  <c r="N12" i="45"/>
  <c r="R12" i="45"/>
  <c r="S12" i="45"/>
  <c r="T12" i="45"/>
  <c r="S16" i="45"/>
  <c r="N16" i="45"/>
  <c r="T16" i="45"/>
  <c r="N25" i="45"/>
  <c r="N36" i="45"/>
  <c r="N40" i="45"/>
  <c r="N41" i="45"/>
  <c r="N60" i="45"/>
  <c r="N44" i="45"/>
  <c r="N49" i="45"/>
  <c r="N50" i="45"/>
  <c r="N51" i="45"/>
  <c r="T51" i="45"/>
  <c r="N52" i="45"/>
  <c r="T52" i="45"/>
  <c r="N53" i="45"/>
  <c r="N54" i="45"/>
  <c r="N55" i="45"/>
  <c r="T55" i="45"/>
  <c r="N56" i="45"/>
  <c r="T56" i="45"/>
  <c r="N57" i="45"/>
  <c r="N58" i="45"/>
  <c r="N38" i="45"/>
  <c r="N27" i="45"/>
  <c r="T27" i="45"/>
  <c r="N22" i="45"/>
  <c r="N20" i="45"/>
  <c r="N13" i="45"/>
  <c r="R13" i="45"/>
  <c r="S13" i="45"/>
  <c r="T13" i="45"/>
  <c r="N14" i="45"/>
  <c r="U14" i="45"/>
  <c r="N15" i="45"/>
  <c r="R15" i="45"/>
  <c r="S15" i="45"/>
  <c r="T44" i="45"/>
  <c r="T49" i="45"/>
  <c r="T50" i="45"/>
  <c r="T53" i="45"/>
  <c r="T54" i="45"/>
  <c r="T57" i="45"/>
  <c r="T40" i="45"/>
  <c r="T41" i="45"/>
  <c r="T25" i="45"/>
  <c r="T60" i="45"/>
  <c r="T38" i="45"/>
  <c r="T22" i="45"/>
  <c r="U12" i="45"/>
  <c r="S20" i="45"/>
  <c r="T20" i="45"/>
  <c r="M23" i="56"/>
  <c r="L23" i="56"/>
  <c r="R23" i="55"/>
  <c r="P23" i="55"/>
  <c r="Q23" i="55"/>
  <c r="N23" i="55"/>
  <c r="K23" i="55"/>
  <c r="L52" i="55"/>
  <c r="P52" i="55"/>
  <c r="M52" i="55"/>
  <c r="L10" i="55"/>
  <c r="M10" i="55"/>
  <c r="N21" i="55"/>
  <c r="P21" i="55"/>
  <c r="Q21" i="55"/>
  <c r="R21" i="55"/>
  <c r="M26" i="53"/>
  <c r="L26" i="53"/>
  <c r="M21" i="54"/>
  <c r="L21" i="54"/>
  <c r="L10" i="54"/>
  <c r="M10" i="54"/>
  <c r="N23" i="54"/>
  <c r="P23" i="54"/>
  <c r="R23" i="54"/>
  <c r="K23" i="54"/>
  <c r="O23" i="53"/>
  <c r="R52" i="53"/>
  <c r="N52" i="53"/>
  <c r="O52" i="53"/>
  <c r="K52" i="53"/>
  <c r="P52" i="53"/>
  <c r="Q52" i="53"/>
  <c r="Q23" i="54"/>
  <c r="P21" i="53"/>
  <c r="Q21" i="53"/>
  <c r="R21" i="53"/>
  <c r="N21" i="53"/>
  <c r="P10" i="53"/>
  <c r="Q10" i="53"/>
  <c r="K10" i="53"/>
  <c r="N10" i="53"/>
  <c r="O10" i="53"/>
  <c r="R10" i="53"/>
  <c r="L52" i="54"/>
  <c r="M52" i="54"/>
  <c r="O23" i="51"/>
  <c r="P52" i="51"/>
  <c r="Q52" i="51"/>
  <c r="R52" i="51"/>
  <c r="K52" i="51"/>
  <c r="N52" i="51"/>
  <c r="O52" i="51"/>
  <c r="M26" i="51"/>
  <c r="L26" i="51"/>
  <c r="R21" i="51"/>
  <c r="P21" i="51"/>
  <c r="Q21" i="51"/>
  <c r="N21" i="51"/>
  <c r="K10" i="51"/>
  <c r="P10" i="51"/>
  <c r="Q10" i="51"/>
  <c r="R10" i="51"/>
  <c r="N10" i="51"/>
  <c r="O10" i="51"/>
  <c r="M26" i="50"/>
  <c r="N26" i="50"/>
  <c r="K26" i="50"/>
  <c r="N23" i="50"/>
  <c r="N23" i="49"/>
  <c r="H62" i="49"/>
  <c r="T36" i="45"/>
  <c r="U13" i="45"/>
  <c r="R14" i="45"/>
  <c r="S14" i="45"/>
  <c r="T14" i="45"/>
  <c r="T15" i="45"/>
  <c r="M26" i="55"/>
  <c r="I26" i="56"/>
  <c r="P23" i="56"/>
  <c r="K23" i="56"/>
  <c r="R23" i="56"/>
  <c r="N23" i="56"/>
  <c r="L26" i="55"/>
  <c r="O23" i="55"/>
  <c r="K52" i="55"/>
  <c r="Q52" i="55"/>
  <c r="N52" i="55"/>
  <c r="O52" i="55"/>
  <c r="R52" i="55"/>
  <c r="P10" i="55"/>
  <c r="Q10" i="55"/>
  <c r="R10" i="55"/>
  <c r="K10" i="55"/>
  <c r="N10" i="55"/>
  <c r="O10" i="55"/>
  <c r="O23" i="54"/>
  <c r="N26" i="53"/>
  <c r="O26" i="53"/>
  <c r="K26" i="53"/>
  <c r="R26" i="53"/>
  <c r="P26" i="53"/>
  <c r="Q26" i="53"/>
  <c r="P52" i="54"/>
  <c r="Q52" i="54"/>
  <c r="R52" i="54"/>
  <c r="K52" i="54"/>
  <c r="N52" i="54"/>
  <c r="O52" i="54"/>
  <c r="P10" i="54"/>
  <c r="Q10" i="54"/>
  <c r="R10" i="54"/>
  <c r="K10" i="54"/>
  <c r="N10" i="54"/>
  <c r="O10" i="54"/>
  <c r="N21" i="54"/>
  <c r="R21" i="54"/>
  <c r="P21" i="54"/>
  <c r="Q21" i="54"/>
  <c r="L26" i="54"/>
  <c r="M26" i="54"/>
  <c r="N26" i="51"/>
  <c r="O26" i="51"/>
  <c r="K26" i="51"/>
  <c r="P26" i="51"/>
  <c r="Q26" i="51"/>
  <c r="R26" i="51"/>
  <c r="L10" i="48"/>
  <c r="H10" i="48"/>
  <c r="K10" i="48"/>
  <c r="O23" i="56"/>
  <c r="M26" i="56"/>
  <c r="L26" i="56"/>
  <c r="Q23" i="56"/>
  <c r="K26" i="55"/>
  <c r="N26" i="55"/>
  <c r="O26" i="55"/>
  <c r="R26" i="55"/>
  <c r="P26" i="55"/>
  <c r="Q26" i="55"/>
  <c r="R26" i="54"/>
  <c r="K26" i="54"/>
  <c r="N26" i="54"/>
  <c r="O26" i="54"/>
  <c r="P26" i="54"/>
  <c r="Q26" i="54"/>
  <c r="M10" i="48"/>
  <c r="N10" i="48"/>
  <c r="J18" i="48"/>
  <c r="C61" i="48"/>
  <c r="H61" i="48"/>
  <c r="K60" i="48"/>
  <c r="G60" i="48"/>
  <c r="F60" i="48"/>
  <c r="E60" i="48"/>
  <c r="D60" i="48"/>
  <c r="C37" i="48"/>
  <c r="H37" i="48"/>
  <c r="C36" i="48"/>
  <c r="H36" i="48"/>
  <c r="C35" i="48"/>
  <c r="H35" i="48"/>
  <c r="C34" i="48"/>
  <c r="H34" i="48"/>
  <c r="C33" i="48"/>
  <c r="H33" i="48"/>
  <c r="C32" i="48"/>
  <c r="H32" i="48"/>
  <c r="C31" i="48"/>
  <c r="H31" i="48"/>
  <c r="C30" i="48"/>
  <c r="H30" i="48"/>
  <c r="C29" i="48"/>
  <c r="H29" i="48"/>
  <c r="G28" i="48"/>
  <c r="C28" i="48"/>
  <c r="F27" i="48"/>
  <c r="E27" i="48"/>
  <c r="D27" i="48"/>
  <c r="D62" i="48"/>
  <c r="C26" i="48"/>
  <c r="H26" i="48"/>
  <c r="C25" i="48"/>
  <c r="H25" i="48"/>
  <c r="C24" i="48"/>
  <c r="H24" i="48"/>
  <c r="C23" i="48"/>
  <c r="H23" i="48"/>
  <c r="G22" i="48"/>
  <c r="F22" i="48"/>
  <c r="E22" i="48"/>
  <c r="D22" i="48"/>
  <c r="C59" i="48"/>
  <c r="H59" i="48"/>
  <c r="C58" i="48"/>
  <c r="H58" i="48"/>
  <c r="F57" i="48"/>
  <c r="C57" i="48"/>
  <c r="C56" i="48"/>
  <c r="H56" i="48"/>
  <c r="C55" i="48"/>
  <c r="H55" i="48"/>
  <c r="C54" i="48"/>
  <c r="H54" i="48"/>
  <c r="C53" i="48"/>
  <c r="H53" i="48"/>
  <c r="C52" i="48"/>
  <c r="H52" i="48"/>
  <c r="C51" i="48"/>
  <c r="H51" i="48"/>
  <c r="C50" i="48"/>
  <c r="H50" i="48"/>
  <c r="C49" i="48"/>
  <c r="H49" i="48"/>
  <c r="C48" i="48"/>
  <c r="H48" i="48"/>
  <c r="C47" i="48"/>
  <c r="H47" i="48"/>
  <c r="C46" i="48"/>
  <c r="H46" i="48"/>
  <c r="C45" i="48"/>
  <c r="H45" i="48"/>
  <c r="F44" i="48"/>
  <c r="C44" i="48"/>
  <c r="G43" i="48"/>
  <c r="E43" i="48"/>
  <c r="D43" i="48"/>
  <c r="C42" i="48"/>
  <c r="H42" i="48"/>
  <c r="C41" i="48"/>
  <c r="H41" i="48"/>
  <c r="C40" i="48"/>
  <c r="H40" i="48"/>
  <c r="C39" i="48"/>
  <c r="H39" i="48"/>
  <c r="G38" i="48"/>
  <c r="F38" i="48"/>
  <c r="E38" i="48"/>
  <c r="D38" i="48"/>
  <c r="C21" i="48"/>
  <c r="H21" i="48"/>
  <c r="F20" i="48"/>
  <c r="C20" i="48"/>
  <c r="F19" i="48"/>
  <c r="C19" i="48"/>
  <c r="G18" i="48"/>
  <c r="E18" i="48"/>
  <c r="D18" i="48"/>
  <c r="C17" i="48"/>
  <c r="H17" i="48"/>
  <c r="C16" i="48"/>
  <c r="H16" i="48"/>
  <c r="C15" i="48"/>
  <c r="H15" i="48"/>
  <c r="C14" i="48"/>
  <c r="H14" i="48"/>
  <c r="C13" i="48"/>
  <c r="H13" i="48"/>
  <c r="C12" i="48"/>
  <c r="H12" i="48"/>
  <c r="C11" i="48"/>
  <c r="H11" i="48"/>
  <c r="G9" i="48"/>
  <c r="G8" i="48"/>
  <c r="C9" i="48"/>
  <c r="F8" i="48"/>
  <c r="E8" i="48"/>
  <c r="D8" i="48"/>
  <c r="P26" i="56"/>
  <c r="Q26" i="56"/>
  <c r="K26" i="56"/>
  <c r="N26" i="56"/>
  <c r="O26" i="56"/>
  <c r="R26" i="56"/>
  <c r="L39" i="53"/>
  <c r="M39" i="53"/>
  <c r="M39" i="51"/>
  <c r="L39" i="51"/>
  <c r="L39" i="50"/>
  <c r="M39" i="50"/>
  <c r="L53" i="49"/>
  <c r="K53" i="49"/>
  <c r="L54" i="49"/>
  <c r="M54" i="49"/>
  <c r="J60" i="48"/>
  <c r="L39" i="49"/>
  <c r="M39" i="49"/>
  <c r="J38" i="48"/>
  <c r="H19" i="48"/>
  <c r="L61" i="48"/>
  <c r="L60" i="48"/>
  <c r="E62" i="48"/>
  <c r="F43" i="48"/>
  <c r="F18" i="48"/>
  <c r="H57" i="48"/>
  <c r="H28" i="48"/>
  <c r="H27" i="48"/>
  <c r="J43" i="48"/>
  <c r="J8" i="48"/>
  <c r="C18" i="48"/>
  <c r="J22" i="48"/>
  <c r="C27" i="48"/>
  <c r="G27" i="48"/>
  <c r="G62" i="48"/>
  <c r="C8" i="48"/>
  <c r="J27" i="48"/>
  <c r="H9" i="48"/>
  <c r="H8" i="48"/>
  <c r="H20" i="48"/>
  <c r="H44" i="48"/>
  <c r="C22" i="48"/>
  <c r="C60" i="48"/>
  <c r="H38" i="48"/>
  <c r="H22" i="48"/>
  <c r="C38" i="48"/>
  <c r="C43" i="48"/>
  <c r="H60" i="48"/>
  <c r="I60" i="48"/>
  <c r="T77" i="47"/>
  <c r="T76" i="47"/>
  <c r="G77" i="47"/>
  <c r="G76" i="47"/>
  <c r="S76" i="47"/>
  <c r="R76" i="47"/>
  <c r="Q76" i="47"/>
  <c r="P76" i="47"/>
  <c r="O76" i="47"/>
  <c r="N76" i="47"/>
  <c r="M76" i="47"/>
  <c r="L76" i="47"/>
  <c r="K76" i="47"/>
  <c r="J76" i="47"/>
  <c r="I76" i="47"/>
  <c r="H76" i="47"/>
  <c r="F76" i="47"/>
  <c r="E76" i="47"/>
  <c r="D76" i="47"/>
  <c r="C76" i="47"/>
  <c r="G75" i="47"/>
  <c r="S65" i="47"/>
  <c r="T74" i="47"/>
  <c r="G74" i="47"/>
  <c r="T73" i="47"/>
  <c r="G73" i="47"/>
  <c r="T72" i="47"/>
  <c r="G72" i="47"/>
  <c r="U72" i="47"/>
  <c r="T71" i="47"/>
  <c r="G71" i="47"/>
  <c r="T70" i="47"/>
  <c r="G70" i="47"/>
  <c r="T69" i="47"/>
  <c r="G69" i="47"/>
  <c r="T68" i="47"/>
  <c r="G68" i="47"/>
  <c r="U68" i="47"/>
  <c r="T67" i="47"/>
  <c r="G67" i="47"/>
  <c r="T66" i="47"/>
  <c r="G66" i="47"/>
  <c r="R65" i="47"/>
  <c r="P65" i="47"/>
  <c r="O65" i="47"/>
  <c r="N65" i="47"/>
  <c r="M65" i="47"/>
  <c r="L65" i="47"/>
  <c r="K65" i="47"/>
  <c r="J65" i="47"/>
  <c r="I65" i="47"/>
  <c r="H65" i="47"/>
  <c r="F65" i="47"/>
  <c r="E65" i="47"/>
  <c r="D65" i="47"/>
  <c r="C65" i="47"/>
  <c r="G64" i="47"/>
  <c r="U64" i="47"/>
  <c r="T63" i="47"/>
  <c r="G63" i="47"/>
  <c r="T62" i="47"/>
  <c r="G62" i="47"/>
  <c r="T61" i="47"/>
  <c r="G61" i="47"/>
  <c r="S60" i="47"/>
  <c r="R60" i="47"/>
  <c r="Q60" i="47"/>
  <c r="P60" i="47"/>
  <c r="O60" i="47"/>
  <c r="N60" i="47"/>
  <c r="M60" i="47"/>
  <c r="L60" i="47"/>
  <c r="K60" i="47"/>
  <c r="J60" i="47"/>
  <c r="I60" i="47"/>
  <c r="H60" i="47"/>
  <c r="F60" i="47"/>
  <c r="E60" i="47"/>
  <c r="D60" i="47"/>
  <c r="C60" i="47"/>
  <c r="T59" i="47"/>
  <c r="G59" i="47"/>
  <c r="T58" i="47"/>
  <c r="G58" i="47"/>
  <c r="T57" i="47"/>
  <c r="G57" i="47"/>
  <c r="T56" i="47"/>
  <c r="G56" i="47"/>
  <c r="T55" i="47"/>
  <c r="G55" i="47"/>
  <c r="T54" i="47"/>
  <c r="G54" i="47"/>
  <c r="T53" i="47"/>
  <c r="G53" i="47"/>
  <c r="T52" i="47"/>
  <c r="G52" i="47"/>
  <c r="T51" i="47"/>
  <c r="G51" i="47"/>
  <c r="T50" i="47"/>
  <c r="G50" i="47"/>
  <c r="T49" i="47"/>
  <c r="G49" i="47"/>
  <c r="T48" i="47"/>
  <c r="G48" i="47"/>
  <c r="T47" i="47"/>
  <c r="G47" i="47"/>
  <c r="T46" i="47"/>
  <c r="G46" i="47"/>
  <c r="T45" i="47"/>
  <c r="G45" i="47"/>
  <c r="T44" i="47"/>
  <c r="G44" i="47"/>
  <c r="S43" i="47"/>
  <c r="R43" i="47"/>
  <c r="Q43" i="47"/>
  <c r="P43" i="47"/>
  <c r="O43" i="47"/>
  <c r="N43" i="47"/>
  <c r="M43" i="47"/>
  <c r="L43" i="47"/>
  <c r="K43" i="47"/>
  <c r="J43" i="47"/>
  <c r="I43" i="47"/>
  <c r="H43" i="47"/>
  <c r="E43" i="47"/>
  <c r="D43" i="47"/>
  <c r="C43" i="47"/>
  <c r="G42" i="47"/>
  <c r="P42" i="47"/>
  <c r="P38" i="47"/>
  <c r="T41" i="47"/>
  <c r="G41" i="47"/>
  <c r="T40" i="47"/>
  <c r="G40" i="47"/>
  <c r="T39" i="47"/>
  <c r="G39" i="47"/>
  <c r="K38" i="47"/>
  <c r="J38" i="47"/>
  <c r="I38" i="47"/>
  <c r="F38" i="47"/>
  <c r="E38" i="47"/>
  <c r="D38" i="47"/>
  <c r="D37" i="47"/>
  <c r="C38" i="47"/>
  <c r="G36" i="47"/>
  <c r="H36" i="47"/>
  <c r="G35" i="47"/>
  <c r="T34" i="47"/>
  <c r="G34" i="47"/>
  <c r="F33" i="47"/>
  <c r="E33" i="47"/>
  <c r="D33" i="47"/>
  <c r="C33" i="47"/>
  <c r="G32" i="47"/>
  <c r="G31" i="47"/>
  <c r="U31" i="47"/>
  <c r="G30" i="47"/>
  <c r="G29" i="47"/>
  <c r="G28" i="47"/>
  <c r="G27" i="47"/>
  <c r="U27" i="47"/>
  <c r="G26" i="47"/>
  <c r="G24" i="47"/>
  <c r="S23" i="47"/>
  <c r="R23" i="47"/>
  <c r="Q23" i="47"/>
  <c r="P23" i="47"/>
  <c r="N23" i="47"/>
  <c r="M23" i="47"/>
  <c r="L23" i="47"/>
  <c r="K23" i="47"/>
  <c r="J23" i="47"/>
  <c r="I23" i="47"/>
  <c r="H23" i="47"/>
  <c r="F23" i="47"/>
  <c r="E23" i="47"/>
  <c r="D23" i="47"/>
  <c r="C23" i="47"/>
  <c r="E16" i="47"/>
  <c r="C13" i="47"/>
  <c r="C16" i="47"/>
  <c r="G12" i="47"/>
  <c r="G11" i="47"/>
  <c r="G10" i="47"/>
  <c r="G9" i="47"/>
  <c r="T8" i="47"/>
  <c r="G8" i="47"/>
  <c r="U8" i="47"/>
  <c r="G9" i="46"/>
  <c r="G8" i="46"/>
  <c r="F56" i="46"/>
  <c r="I60" i="46"/>
  <c r="L60" i="46"/>
  <c r="L59" i="46"/>
  <c r="L37" i="48"/>
  <c r="M37" i="48"/>
  <c r="L26" i="48"/>
  <c r="K26" i="48"/>
  <c r="L50" i="48"/>
  <c r="K50" i="48"/>
  <c r="L51" i="48"/>
  <c r="M51" i="48"/>
  <c r="L54" i="48"/>
  <c r="M54" i="48"/>
  <c r="L55" i="48"/>
  <c r="M55" i="48"/>
  <c r="L56" i="48"/>
  <c r="M56" i="48"/>
  <c r="L58" i="48"/>
  <c r="K58" i="48"/>
  <c r="L59" i="48"/>
  <c r="K59" i="48"/>
  <c r="L41" i="48"/>
  <c r="K41" i="48"/>
  <c r="L42" i="48"/>
  <c r="M42" i="48"/>
  <c r="L21" i="48"/>
  <c r="M21" i="48"/>
  <c r="C60" i="46"/>
  <c r="H60" i="46"/>
  <c r="K59" i="46"/>
  <c r="J59" i="46"/>
  <c r="G59" i="46"/>
  <c r="F59" i="46"/>
  <c r="E59" i="46"/>
  <c r="D59" i="46"/>
  <c r="C36" i="46"/>
  <c r="H36" i="46"/>
  <c r="C35" i="46"/>
  <c r="H35" i="46"/>
  <c r="C34" i="46"/>
  <c r="H34" i="46"/>
  <c r="C33" i="46"/>
  <c r="H33" i="46"/>
  <c r="C32" i="46"/>
  <c r="H32" i="46"/>
  <c r="C31" i="46"/>
  <c r="H31" i="46"/>
  <c r="C30" i="46"/>
  <c r="H30" i="46"/>
  <c r="C29" i="46"/>
  <c r="H29" i="46"/>
  <c r="C28" i="46"/>
  <c r="H28" i="46"/>
  <c r="G27" i="46"/>
  <c r="G26" i="46"/>
  <c r="C27" i="46"/>
  <c r="F26" i="46"/>
  <c r="E26" i="46"/>
  <c r="D26" i="46"/>
  <c r="D61" i="46"/>
  <c r="C25" i="46"/>
  <c r="H25" i="46"/>
  <c r="C24" i="46"/>
  <c r="H24" i="46"/>
  <c r="C23" i="46"/>
  <c r="C22" i="46"/>
  <c r="H22" i="46"/>
  <c r="G21" i="46"/>
  <c r="F21" i="46"/>
  <c r="E21" i="46"/>
  <c r="D21" i="46"/>
  <c r="C58" i="46"/>
  <c r="H58" i="46"/>
  <c r="C57" i="46"/>
  <c r="H57" i="46"/>
  <c r="C56" i="46"/>
  <c r="C55" i="46"/>
  <c r="H55" i="46"/>
  <c r="C54" i="46"/>
  <c r="H54" i="46"/>
  <c r="C53" i="46"/>
  <c r="C52" i="46"/>
  <c r="H52" i="46"/>
  <c r="C51" i="46"/>
  <c r="H51" i="46"/>
  <c r="C50" i="46"/>
  <c r="H50" i="46"/>
  <c r="C49" i="46"/>
  <c r="H49" i="46"/>
  <c r="C48" i="46"/>
  <c r="H48" i="46"/>
  <c r="C47" i="46"/>
  <c r="H47" i="46"/>
  <c r="C46" i="46"/>
  <c r="H46" i="46"/>
  <c r="C45" i="46"/>
  <c r="H45" i="46"/>
  <c r="C44" i="46"/>
  <c r="H44" i="46"/>
  <c r="F43" i="46"/>
  <c r="C43" i="46"/>
  <c r="G42" i="46"/>
  <c r="E42" i="46"/>
  <c r="D42" i="46"/>
  <c r="C41" i="46"/>
  <c r="H41" i="46"/>
  <c r="C40" i="46"/>
  <c r="H40" i="46"/>
  <c r="C39" i="46"/>
  <c r="H39" i="46"/>
  <c r="C38" i="46"/>
  <c r="H38" i="46"/>
  <c r="J37" i="46"/>
  <c r="G37" i="46"/>
  <c r="F37" i="46"/>
  <c r="E37" i="46"/>
  <c r="D37" i="46"/>
  <c r="C20" i="46"/>
  <c r="F19" i="46"/>
  <c r="C19" i="46"/>
  <c r="F18" i="46"/>
  <c r="C18" i="46"/>
  <c r="G17" i="46"/>
  <c r="E17" i="46"/>
  <c r="D17" i="46"/>
  <c r="C16" i="46"/>
  <c r="H16" i="46"/>
  <c r="C15" i="46"/>
  <c r="H15" i="46"/>
  <c r="C14" i="46"/>
  <c r="H14" i="46"/>
  <c r="M14" i="46"/>
  <c r="N14" i="46"/>
  <c r="C13" i="46"/>
  <c r="H13" i="46"/>
  <c r="K13" i="46"/>
  <c r="C12" i="46"/>
  <c r="H12" i="46"/>
  <c r="M12" i="46"/>
  <c r="N12" i="46"/>
  <c r="C11" i="46"/>
  <c r="H11" i="46"/>
  <c r="C10" i="46"/>
  <c r="H10" i="46"/>
  <c r="C9" i="46"/>
  <c r="F8" i="46"/>
  <c r="E8" i="46"/>
  <c r="D8" i="46"/>
  <c r="L39" i="55"/>
  <c r="M39" i="55"/>
  <c r="R39" i="53"/>
  <c r="N39" i="53"/>
  <c r="P39" i="53"/>
  <c r="Q39" i="53"/>
  <c r="I60" i="53"/>
  <c r="M60" i="53"/>
  <c r="L61" i="53"/>
  <c r="M61" i="53"/>
  <c r="M39" i="54"/>
  <c r="L39" i="54"/>
  <c r="M53" i="49"/>
  <c r="N53" i="49"/>
  <c r="F62" i="48"/>
  <c r="L54" i="50"/>
  <c r="M54" i="50"/>
  <c r="M61" i="51"/>
  <c r="I60" i="51"/>
  <c r="M60" i="51"/>
  <c r="L61" i="51"/>
  <c r="L53" i="50"/>
  <c r="M53" i="50"/>
  <c r="N53" i="50"/>
  <c r="P39" i="51"/>
  <c r="Q39" i="51"/>
  <c r="N39" i="51"/>
  <c r="R39" i="51"/>
  <c r="G43" i="47"/>
  <c r="U56" i="47"/>
  <c r="U67" i="47"/>
  <c r="C37" i="47"/>
  <c r="U52" i="47"/>
  <c r="G33" i="47"/>
  <c r="Q42" i="47"/>
  <c r="Q38" i="47"/>
  <c r="Q37" i="47"/>
  <c r="H42" i="47"/>
  <c r="H38" i="47"/>
  <c r="H37" i="47"/>
  <c r="M42" i="47"/>
  <c r="M38" i="47"/>
  <c r="D78" i="47"/>
  <c r="O42" i="47"/>
  <c r="O38" i="47"/>
  <c r="O37" i="47"/>
  <c r="J37" i="47"/>
  <c r="U71" i="47"/>
  <c r="G65" i="47"/>
  <c r="U63" i="47"/>
  <c r="P37" i="47"/>
  <c r="F37" i="47"/>
  <c r="G38" i="47"/>
  <c r="C78" i="47"/>
  <c r="T60" i="47"/>
  <c r="U58" i="47"/>
  <c r="U53" i="47"/>
  <c r="U55" i="47"/>
  <c r="U57" i="47"/>
  <c r="U59" i="47"/>
  <c r="U46" i="47"/>
  <c r="U48" i="47"/>
  <c r="U50" i="47"/>
  <c r="U45" i="47"/>
  <c r="U47" i="47"/>
  <c r="U49" i="47"/>
  <c r="U51" i="47"/>
  <c r="T43" i="47"/>
  <c r="U41" i="47"/>
  <c r="U40" i="47"/>
  <c r="K37" i="47"/>
  <c r="U69" i="47"/>
  <c r="U61" i="47"/>
  <c r="U26" i="47"/>
  <c r="U28" i="47"/>
  <c r="U30" i="47"/>
  <c r="L61" i="50"/>
  <c r="I60" i="50"/>
  <c r="L28" i="48"/>
  <c r="K28" i="48"/>
  <c r="L14" i="48"/>
  <c r="M14" i="48"/>
  <c r="N14" i="48"/>
  <c r="L15" i="48"/>
  <c r="K15" i="48"/>
  <c r="L17" i="48"/>
  <c r="K17" i="48"/>
  <c r="L13" i="48"/>
  <c r="K13" i="48"/>
  <c r="L29" i="48"/>
  <c r="M29" i="48"/>
  <c r="L61" i="49"/>
  <c r="I60" i="49"/>
  <c r="L16" i="48"/>
  <c r="M16" i="48"/>
  <c r="N16" i="48"/>
  <c r="H18" i="48"/>
  <c r="M61" i="48"/>
  <c r="M60" i="48"/>
  <c r="H43" i="48"/>
  <c r="C62" i="48"/>
  <c r="J62" i="48"/>
  <c r="E61" i="46"/>
  <c r="C21" i="46"/>
  <c r="H19" i="46"/>
  <c r="H43" i="46"/>
  <c r="H23" i="46"/>
  <c r="H21" i="46"/>
  <c r="K14" i="46"/>
  <c r="C17" i="46"/>
  <c r="H20" i="46"/>
  <c r="C42" i="46"/>
  <c r="L28" i="46"/>
  <c r="M28" i="46"/>
  <c r="L49" i="46"/>
  <c r="K49" i="46"/>
  <c r="L36" i="46"/>
  <c r="M36" i="46"/>
  <c r="L16" i="46"/>
  <c r="M16" i="46"/>
  <c r="N16" i="46"/>
  <c r="L22" i="46"/>
  <c r="M22" i="46"/>
  <c r="N22" i="46"/>
  <c r="L55" i="46"/>
  <c r="M55" i="46"/>
  <c r="L40" i="46"/>
  <c r="K40" i="46"/>
  <c r="L44" i="46"/>
  <c r="K44" i="46"/>
  <c r="L38" i="46"/>
  <c r="M38" i="46"/>
  <c r="M41" i="48"/>
  <c r="N41" i="48"/>
  <c r="M59" i="48"/>
  <c r="N59" i="48"/>
  <c r="L54" i="46"/>
  <c r="M54" i="46"/>
  <c r="L58" i="46"/>
  <c r="K58" i="46"/>
  <c r="L25" i="46"/>
  <c r="K25" i="46"/>
  <c r="L39" i="48"/>
  <c r="M39" i="48"/>
  <c r="M58" i="48"/>
  <c r="N58" i="48"/>
  <c r="M26" i="48"/>
  <c r="N26" i="48"/>
  <c r="L15" i="46"/>
  <c r="M15" i="46"/>
  <c r="N15" i="46"/>
  <c r="L20" i="46"/>
  <c r="L50" i="46"/>
  <c r="M50" i="46"/>
  <c r="L57" i="46"/>
  <c r="K57" i="46"/>
  <c r="I59" i="46"/>
  <c r="L56" i="46"/>
  <c r="L57" i="48"/>
  <c r="M57" i="48"/>
  <c r="L52" i="46"/>
  <c r="K52" i="46"/>
  <c r="L53" i="48"/>
  <c r="M50" i="48"/>
  <c r="N50" i="48"/>
  <c r="M60" i="46"/>
  <c r="M59" i="46"/>
  <c r="L53" i="46"/>
  <c r="L27" i="46"/>
  <c r="L51" i="46"/>
  <c r="K51" i="46"/>
  <c r="L52" i="48"/>
  <c r="L23" i="48"/>
  <c r="U76" i="47"/>
  <c r="U73" i="47"/>
  <c r="U70" i="47"/>
  <c r="U74" i="47"/>
  <c r="U62" i="47"/>
  <c r="M37" i="47"/>
  <c r="I37" i="47"/>
  <c r="U54" i="47"/>
  <c r="E37" i="47"/>
  <c r="U44" i="47"/>
  <c r="H33" i="47"/>
  <c r="U39" i="47"/>
  <c r="U29" i="47"/>
  <c r="G23" i="47"/>
  <c r="U34" i="47"/>
  <c r="F78" i="47"/>
  <c r="E78" i="47"/>
  <c r="U32" i="47"/>
  <c r="G13" i="47"/>
  <c r="G16" i="47"/>
  <c r="T75" i="47"/>
  <c r="U75" i="47"/>
  <c r="G60" i="47"/>
  <c r="U66" i="47"/>
  <c r="U77" i="47"/>
  <c r="I36" i="47"/>
  <c r="N42" i="47"/>
  <c r="N38" i="47"/>
  <c r="N37" i="47"/>
  <c r="R42" i="47"/>
  <c r="R38" i="47"/>
  <c r="R37" i="47"/>
  <c r="Q65" i="47"/>
  <c r="L42" i="47"/>
  <c r="L38" i="47"/>
  <c r="L37" i="47"/>
  <c r="H56" i="46"/>
  <c r="J21" i="46"/>
  <c r="F17" i="46"/>
  <c r="F42" i="46"/>
  <c r="H9" i="46"/>
  <c r="H8" i="46"/>
  <c r="L41" i="46"/>
  <c r="M41" i="46"/>
  <c r="H37" i="46"/>
  <c r="K12" i="46"/>
  <c r="H27" i="46"/>
  <c r="J26" i="46"/>
  <c r="J8" i="46"/>
  <c r="M13" i="46"/>
  <c r="N13" i="46"/>
  <c r="H18" i="46"/>
  <c r="H53" i="46"/>
  <c r="C8" i="46"/>
  <c r="G61" i="46"/>
  <c r="J17" i="46"/>
  <c r="C37" i="46"/>
  <c r="J42" i="46"/>
  <c r="H59" i="46"/>
  <c r="C26" i="46"/>
  <c r="C59" i="46"/>
  <c r="M61" i="55"/>
  <c r="I61" i="56"/>
  <c r="I60" i="55"/>
  <c r="M60" i="55"/>
  <c r="N39" i="55"/>
  <c r="P39" i="55"/>
  <c r="R39" i="55"/>
  <c r="M17" i="48"/>
  <c r="N17" i="48"/>
  <c r="M61" i="54"/>
  <c r="I60" i="54"/>
  <c r="M60" i="54"/>
  <c r="L61" i="54"/>
  <c r="K14" i="48"/>
  <c r="M53" i="53"/>
  <c r="L53" i="53"/>
  <c r="M54" i="53"/>
  <c r="L54" i="53"/>
  <c r="R39" i="54"/>
  <c r="N39" i="54"/>
  <c r="P39" i="54"/>
  <c r="N61" i="53"/>
  <c r="N60" i="53"/>
  <c r="P61" i="53"/>
  <c r="P60" i="53"/>
  <c r="L60" i="53"/>
  <c r="M13" i="48"/>
  <c r="N13" i="48"/>
  <c r="M28" i="48"/>
  <c r="N28" i="48"/>
  <c r="H62" i="48"/>
  <c r="M15" i="48"/>
  <c r="N15" i="48"/>
  <c r="K16" i="48"/>
  <c r="K53" i="50"/>
  <c r="L53" i="51"/>
  <c r="M53" i="51"/>
  <c r="L54" i="51"/>
  <c r="M54" i="51"/>
  <c r="L28" i="50"/>
  <c r="M28" i="50"/>
  <c r="L60" i="51"/>
  <c r="P61" i="51"/>
  <c r="P60" i="51"/>
  <c r="N61" i="51"/>
  <c r="N60" i="51"/>
  <c r="G37" i="47"/>
  <c r="U43" i="47"/>
  <c r="G78" i="47"/>
  <c r="F88" i="47"/>
  <c r="U60" i="47"/>
  <c r="L13" i="49"/>
  <c r="K13" i="49"/>
  <c r="L15" i="49"/>
  <c r="K15" i="49"/>
  <c r="L16" i="49"/>
  <c r="M16" i="49"/>
  <c r="N16" i="49"/>
  <c r="L29" i="49"/>
  <c r="M29" i="49"/>
  <c r="L17" i="49"/>
  <c r="M17" i="49"/>
  <c r="N17" i="49"/>
  <c r="L14" i="49"/>
  <c r="M14" i="49"/>
  <c r="N14" i="49"/>
  <c r="L60" i="50"/>
  <c r="M61" i="50"/>
  <c r="M60" i="50"/>
  <c r="K14" i="49"/>
  <c r="L60" i="49"/>
  <c r="M61" i="49"/>
  <c r="M60" i="49"/>
  <c r="L28" i="49"/>
  <c r="L45" i="48"/>
  <c r="K45" i="48"/>
  <c r="K16" i="49"/>
  <c r="K22" i="46"/>
  <c r="H42" i="46"/>
  <c r="M20" i="46"/>
  <c r="M49" i="46"/>
  <c r="N49" i="46"/>
  <c r="M44" i="46"/>
  <c r="N44" i="46"/>
  <c r="K16" i="46"/>
  <c r="M40" i="46"/>
  <c r="N40" i="46"/>
  <c r="M52" i="46"/>
  <c r="N52" i="46"/>
  <c r="M56" i="46"/>
  <c r="M51" i="46"/>
  <c r="N51" i="46"/>
  <c r="K15" i="46"/>
  <c r="M58" i="46"/>
  <c r="N58" i="46"/>
  <c r="K52" i="48"/>
  <c r="M52" i="48"/>
  <c r="N52" i="48"/>
  <c r="M53" i="46"/>
  <c r="M25" i="46"/>
  <c r="N25" i="46"/>
  <c r="M57" i="46"/>
  <c r="N57" i="46"/>
  <c r="K23" i="48"/>
  <c r="M23" i="48"/>
  <c r="K53" i="48"/>
  <c r="M53" i="48"/>
  <c r="N53" i="48"/>
  <c r="K33" i="47"/>
  <c r="I33" i="47"/>
  <c r="H16" i="47"/>
  <c r="F61" i="46"/>
  <c r="S42" i="47"/>
  <c r="S38" i="47"/>
  <c r="S37" i="47"/>
  <c r="J36" i="47"/>
  <c r="J33" i="47"/>
  <c r="T65" i="47"/>
  <c r="I16" i="47"/>
  <c r="I13" i="47"/>
  <c r="T42" i="47"/>
  <c r="H78" i="47"/>
  <c r="H13" i="47"/>
  <c r="H17" i="46"/>
  <c r="J61" i="46"/>
  <c r="C61" i="46"/>
  <c r="K27" i="46"/>
  <c r="M27" i="46"/>
  <c r="H26" i="46"/>
  <c r="L61" i="55"/>
  <c r="M61" i="56"/>
  <c r="L61" i="56"/>
  <c r="I60" i="56"/>
  <c r="M60" i="56"/>
  <c r="M53" i="55"/>
  <c r="L53" i="55"/>
  <c r="M54" i="55"/>
  <c r="L54" i="55"/>
  <c r="L60" i="55"/>
  <c r="P61" i="55"/>
  <c r="P60" i="55"/>
  <c r="N61" i="55"/>
  <c r="N60" i="55"/>
  <c r="Q39" i="55"/>
  <c r="M28" i="53"/>
  <c r="L28" i="53"/>
  <c r="P54" i="53"/>
  <c r="Q54" i="53"/>
  <c r="N54" i="53"/>
  <c r="R54" i="53"/>
  <c r="K53" i="53"/>
  <c r="P53" i="53"/>
  <c r="Q53" i="53"/>
  <c r="N53" i="53"/>
  <c r="O53" i="53"/>
  <c r="R53" i="53"/>
  <c r="R49" i="53"/>
  <c r="P61" i="54"/>
  <c r="P60" i="54"/>
  <c r="L60" i="54"/>
  <c r="N61" i="54"/>
  <c r="N60" i="54"/>
  <c r="M54" i="54"/>
  <c r="L54" i="54"/>
  <c r="L53" i="54"/>
  <c r="M53" i="54"/>
  <c r="Q61" i="53"/>
  <c r="Q60" i="53"/>
  <c r="Q39" i="54"/>
  <c r="M13" i="49"/>
  <c r="N13" i="49"/>
  <c r="K17" i="49"/>
  <c r="M15" i="49"/>
  <c r="N15" i="49"/>
  <c r="K28" i="50"/>
  <c r="M28" i="51"/>
  <c r="L28" i="51"/>
  <c r="Q61" i="51"/>
  <c r="Q60" i="51"/>
  <c r="L14" i="50"/>
  <c r="K14" i="50"/>
  <c r="L13" i="50"/>
  <c r="K13" i="50"/>
  <c r="L17" i="50"/>
  <c r="K17" i="50"/>
  <c r="L16" i="50"/>
  <c r="K16" i="50"/>
  <c r="L15" i="50"/>
  <c r="K15" i="50"/>
  <c r="L29" i="50"/>
  <c r="M29" i="50"/>
  <c r="R54" i="51"/>
  <c r="P54" i="51"/>
  <c r="Q54" i="51"/>
  <c r="N54" i="51"/>
  <c r="R53" i="51"/>
  <c r="P53" i="51"/>
  <c r="Q53" i="51"/>
  <c r="N53" i="51"/>
  <c r="O53" i="51"/>
  <c r="K53" i="51"/>
  <c r="L45" i="49"/>
  <c r="K45" i="49"/>
  <c r="N28" i="50"/>
  <c r="M13" i="50"/>
  <c r="N13" i="50"/>
  <c r="K28" i="49"/>
  <c r="M28" i="49"/>
  <c r="M45" i="48"/>
  <c r="N45" i="48"/>
  <c r="H61" i="46"/>
  <c r="N23" i="48"/>
  <c r="K13" i="47"/>
  <c r="K16" i="47"/>
  <c r="L33" i="47"/>
  <c r="J78" i="47"/>
  <c r="I78" i="47"/>
  <c r="J13" i="47"/>
  <c r="J16" i="47"/>
  <c r="M36" i="47"/>
  <c r="M33" i="47"/>
  <c r="T38" i="47"/>
  <c r="U42" i="47"/>
  <c r="U65" i="47"/>
  <c r="N27" i="46"/>
  <c r="P61" i="56"/>
  <c r="P60" i="56"/>
  <c r="L60" i="56"/>
  <c r="N61" i="56"/>
  <c r="N60" i="56"/>
  <c r="Q61" i="54"/>
  <c r="Q60" i="54"/>
  <c r="L28" i="55"/>
  <c r="M28" i="55"/>
  <c r="Q61" i="55"/>
  <c r="Q60" i="55"/>
  <c r="R53" i="55"/>
  <c r="K53" i="55"/>
  <c r="N53" i="55"/>
  <c r="O53" i="55"/>
  <c r="P53" i="55"/>
  <c r="Q53" i="55"/>
  <c r="R54" i="55"/>
  <c r="P54" i="55"/>
  <c r="Q54" i="55"/>
  <c r="N54" i="55"/>
  <c r="N53" i="54"/>
  <c r="O53" i="54"/>
  <c r="K53" i="54"/>
  <c r="P53" i="54"/>
  <c r="R53" i="54"/>
  <c r="M29" i="53"/>
  <c r="L29" i="53"/>
  <c r="M16" i="53"/>
  <c r="L16" i="53"/>
  <c r="M13" i="53"/>
  <c r="L13" i="53"/>
  <c r="N54" i="54"/>
  <c r="R54" i="54"/>
  <c r="P54" i="54"/>
  <c r="Q54" i="54"/>
  <c r="P28" i="53"/>
  <c r="Q28" i="53"/>
  <c r="R28" i="53"/>
  <c r="K28" i="53"/>
  <c r="N28" i="53"/>
  <c r="L15" i="53"/>
  <c r="M15" i="53"/>
  <c r="M17" i="53"/>
  <c r="L17" i="53"/>
  <c r="M14" i="53"/>
  <c r="L14" i="53"/>
  <c r="Q53" i="54"/>
  <c r="L28" i="54"/>
  <c r="M28" i="54"/>
  <c r="M17" i="50"/>
  <c r="N17" i="50"/>
  <c r="M14" i="50"/>
  <c r="N14" i="50"/>
  <c r="M15" i="50"/>
  <c r="N15" i="50"/>
  <c r="M16" i="50"/>
  <c r="N16" i="50"/>
  <c r="R49" i="51"/>
  <c r="L13" i="51"/>
  <c r="M13" i="51"/>
  <c r="L29" i="51"/>
  <c r="M29" i="51"/>
  <c r="L15" i="51"/>
  <c r="M15" i="51"/>
  <c r="L17" i="51"/>
  <c r="M17" i="51"/>
  <c r="L14" i="51"/>
  <c r="M14" i="51"/>
  <c r="K28" i="51"/>
  <c r="N28" i="51"/>
  <c r="P28" i="51"/>
  <c r="R28" i="51"/>
  <c r="M16" i="51"/>
  <c r="L16" i="51"/>
  <c r="Q28" i="51"/>
  <c r="M45" i="49"/>
  <c r="N45" i="49"/>
  <c r="L45" i="50"/>
  <c r="K45" i="50"/>
  <c r="N36" i="47"/>
  <c r="N33" i="47"/>
  <c r="N28" i="49"/>
  <c r="K78" i="47"/>
  <c r="T37" i="47"/>
  <c r="U37" i="47"/>
  <c r="U38" i="47"/>
  <c r="L13" i="47"/>
  <c r="L16" i="47"/>
  <c r="O36" i="47"/>
  <c r="O33" i="47"/>
  <c r="N48" i="45"/>
  <c r="T48" i="45"/>
  <c r="N47" i="45"/>
  <c r="T47" i="45"/>
  <c r="N46" i="45"/>
  <c r="T46" i="45"/>
  <c r="N45" i="45"/>
  <c r="T45" i="45"/>
  <c r="N43" i="45"/>
  <c r="T43" i="45"/>
  <c r="M44" i="45"/>
  <c r="U44" i="45"/>
  <c r="M49" i="45"/>
  <c r="U49" i="45"/>
  <c r="M50" i="45"/>
  <c r="U50" i="45"/>
  <c r="M51" i="45"/>
  <c r="U51" i="45"/>
  <c r="M52" i="45"/>
  <c r="U52" i="45"/>
  <c r="M53" i="45"/>
  <c r="U53" i="45"/>
  <c r="M54" i="45"/>
  <c r="U54" i="45"/>
  <c r="M55" i="45"/>
  <c r="U55" i="45"/>
  <c r="M56" i="45"/>
  <c r="U56" i="45"/>
  <c r="M40" i="45"/>
  <c r="U40" i="45"/>
  <c r="M41" i="45"/>
  <c r="U41" i="45"/>
  <c r="N19" i="45"/>
  <c r="T19" i="45"/>
  <c r="N18" i="45"/>
  <c r="T18" i="45"/>
  <c r="M20" i="45"/>
  <c r="U20" i="45"/>
  <c r="H9" i="45"/>
  <c r="H27" i="45"/>
  <c r="R35" i="45"/>
  <c r="S35" i="45"/>
  <c r="R34" i="45"/>
  <c r="S34" i="45"/>
  <c r="R33" i="45"/>
  <c r="S33" i="45"/>
  <c r="R32" i="45"/>
  <c r="S32" i="45"/>
  <c r="R31" i="45"/>
  <c r="S31" i="45"/>
  <c r="R30" i="45"/>
  <c r="S30" i="45"/>
  <c r="R29" i="45"/>
  <c r="S29" i="45"/>
  <c r="G19" i="45"/>
  <c r="G18" i="45"/>
  <c r="G43" i="45"/>
  <c r="N11" i="45"/>
  <c r="R11" i="45"/>
  <c r="S11" i="45"/>
  <c r="N10" i="45"/>
  <c r="R10" i="45"/>
  <c r="S10" i="45"/>
  <c r="N9" i="45"/>
  <c r="R9" i="45"/>
  <c r="S9" i="45"/>
  <c r="Q61" i="56"/>
  <c r="Q60" i="56"/>
  <c r="M14" i="55"/>
  <c r="L14" i="55"/>
  <c r="L16" i="55"/>
  <c r="M16" i="55"/>
  <c r="M15" i="55"/>
  <c r="L15" i="55"/>
  <c r="L13" i="55"/>
  <c r="M13" i="55"/>
  <c r="L45" i="55"/>
  <c r="M45" i="55"/>
  <c r="R49" i="55"/>
  <c r="M17" i="55"/>
  <c r="L17" i="55"/>
  <c r="M29" i="55"/>
  <c r="L29" i="55"/>
  <c r="P28" i="55"/>
  <c r="K28" i="55"/>
  <c r="N28" i="55"/>
  <c r="R28" i="55"/>
  <c r="P28" i="54"/>
  <c r="Q28" i="54"/>
  <c r="K28" i="54"/>
  <c r="R28" i="54"/>
  <c r="N28" i="54"/>
  <c r="O28" i="54"/>
  <c r="M14" i="54"/>
  <c r="L14" i="54"/>
  <c r="N16" i="53"/>
  <c r="O16" i="53"/>
  <c r="P16" i="53"/>
  <c r="Q16" i="53"/>
  <c r="R16" i="53"/>
  <c r="K16" i="53"/>
  <c r="N17" i="53"/>
  <c r="O17" i="53"/>
  <c r="K17" i="53"/>
  <c r="P17" i="53"/>
  <c r="Q17" i="53"/>
  <c r="R17" i="53"/>
  <c r="L15" i="54"/>
  <c r="M15" i="54"/>
  <c r="K13" i="53"/>
  <c r="R13" i="53"/>
  <c r="N13" i="53"/>
  <c r="O13" i="53"/>
  <c r="P13" i="53"/>
  <c r="Q13" i="53"/>
  <c r="M29" i="54"/>
  <c r="L29" i="54"/>
  <c r="P14" i="53"/>
  <c r="Q14" i="53"/>
  <c r="R14" i="53"/>
  <c r="N14" i="53"/>
  <c r="O14" i="53"/>
  <c r="K14" i="53"/>
  <c r="P15" i="53"/>
  <c r="Q15" i="53"/>
  <c r="K15" i="53"/>
  <c r="R15" i="53"/>
  <c r="N15" i="53"/>
  <c r="O15" i="53"/>
  <c r="O28" i="53"/>
  <c r="M16" i="54"/>
  <c r="L16" i="54"/>
  <c r="R49" i="54"/>
  <c r="M17" i="54"/>
  <c r="L17" i="54"/>
  <c r="M13" i="54"/>
  <c r="L13" i="54"/>
  <c r="R29" i="53"/>
  <c r="P29" i="53"/>
  <c r="N29" i="53"/>
  <c r="L45" i="54"/>
  <c r="M45" i="54"/>
  <c r="M45" i="53"/>
  <c r="L45" i="53"/>
  <c r="P17" i="51"/>
  <c r="R17" i="51"/>
  <c r="N17" i="51"/>
  <c r="O17" i="51"/>
  <c r="K17" i="51"/>
  <c r="R13" i="51"/>
  <c r="P16" i="51"/>
  <c r="Q16" i="51"/>
  <c r="R16" i="51"/>
  <c r="K16" i="51"/>
  <c r="N16" i="51"/>
  <c r="O16" i="51"/>
  <c r="R14" i="51"/>
  <c r="P14" i="51"/>
  <c r="Q14" i="51"/>
  <c r="K14" i="51"/>
  <c r="N14" i="51"/>
  <c r="O14" i="51"/>
  <c r="R15" i="51"/>
  <c r="P15" i="51"/>
  <c r="Q15" i="51"/>
  <c r="N15" i="51"/>
  <c r="O15" i="51"/>
  <c r="K15" i="51"/>
  <c r="P13" i="51"/>
  <c r="Q13" i="51"/>
  <c r="K13" i="51"/>
  <c r="N13" i="51"/>
  <c r="O13" i="51"/>
  <c r="N29" i="51"/>
  <c r="R29" i="51"/>
  <c r="P29" i="51"/>
  <c r="Q29" i="51"/>
  <c r="O28" i="51"/>
  <c r="Q17" i="51"/>
  <c r="M45" i="50"/>
  <c r="N45" i="50"/>
  <c r="L45" i="51"/>
  <c r="M45" i="51"/>
  <c r="N29" i="45"/>
  <c r="T29" i="45"/>
  <c r="N30" i="45"/>
  <c r="T30" i="45"/>
  <c r="N23" i="45"/>
  <c r="N31" i="45"/>
  <c r="T31" i="45"/>
  <c r="N35" i="45"/>
  <c r="T35" i="45"/>
  <c r="L33" i="46"/>
  <c r="M33" i="46"/>
  <c r="N33" i="46"/>
  <c r="N33" i="45"/>
  <c r="T33" i="45"/>
  <c r="N34" i="45"/>
  <c r="T34" i="45"/>
  <c r="N24" i="45"/>
  <c r="L32" i="46"/>
  <c r="K32" i="46"/>
  <c r="N32" i="45"/>
  <c r="T32" i="45"/>
  <c r="T9" i="45"/>
  <c r="L10" i="46"/>
  <c r="M10" i="46"/>
  <c r="N10" i="46"/>
  <c r="T10" i="45"/>
  <c r="L11" i="46"/>
  <c r="M11" i="46"/>
  <c r="N11" i="46"/>
  <c r="T11" i="45"/>
  <c r="N78" i="47"/>
  <c r="M78" i="47"/>
  <c r="L78" i="47"/>
  <c r="P36" i="47"/>
  <c r="M18" i="45"/>
  <c r="U18" i="45"/>
  <c r="M46" i="45"/>
  <c r="U46" i="45"/>
  <c r="M19" i="45"/>
  <c r="U19" i="45"/>
  <c r="M47" i="45"/>
  <c r="U47" i="45"/>
  <c r="M43" i="45"/>
  <c r="U43" i="45"/>
  <c r="M48" i="45"/>
  <c r="U48" i="45"/>
  <c r="M45" i="45"/>
  <c r="U45" i="45"/>
  <c r="E517" i="15"/>
  <c r="E524" i="15"/>
  <c r="E159" i="15"/>
  <c r="E158" i="15"/>
  <c r="C62" i="29"/>
  <c r="C51" i="29"/>
  <c r="C46" i="29"/>
  <c r="C29" i="29"/>
  <c r="C24" i="29"/>
  <c r="C20" i="29"/>
  <c r="C11" i="29"/>
  <c r="P17" i="55"/>
  <c r="N17" i="55"/>
  <c r="O17" i="55"/>
  <c r="R17" i="55"/>
  <c r="K17" i="55"/>
  <c r="R13" i="55"/>
  <c r="K13" i="55"/>
  <c r="P13" i="55"/>
  <c r="Q13" i="55"/>
  <c r="N13" i="55"/>
  <c r="O13" i="55"/>
  <c r="R16" i="55"/>
  <c r="K16" i="55"/>
  <c r="N16" i="55"/>
  <c r="O16" i="55"/>
  <c r="P16" i="55"/>
  <c r="Q16" i="55"/>
  <c r="Q17" i="55"/>
  <c r="N15" i="55"/>
  <c r="O15" i="55"/>
  <c r="P15" i="55"/>
  <c r="Q15" i="55"/>
  <c r="K15" i="55"/>
  <c r="R15" i="55"/>
  <c r="K14" i="55"/>
  <c r="N14" i="55"/>
  <c r="O14" i="55"/>
  <c r="P14" i="55"/>
  <c r="Q14" i="55"/>
  <c r="R14" i="55"/>
  <c r="P29" i="55"/>
  <c r="N29" i="55"/>
  <c r="R29" i="55"/>
  <c r="N45" i="55"/>
  <c r="O45" i="55"/>
  <c r="P45" i="55"/>
  <c r="Q45" i="55"/>
  <c r="R45" i="55"/>
  <c r="K45" i="55"/>
  <c r="O28" i="55"/>
  <c r="Q29" i="55"/>
  <c r="Q28" i="55"/>
  <c r="M19" i="53"/>
  <c r="L19" i="53"/>
  <c r="P14" i="54"/>
  <c r="K14" i="54"/>
  <c r="N14" i="54"/>
  <c r="O14" i="54"/>
  <c r="R14" i="54"/>
  <c r="P17" i="54"/>
  <c r="Q17" i="54"/>
  <c r="K17" i="54"/>
  <c r="N17" i="54"/>
  <c r="O17" i="54"/>
  <c r="R17" i="54"/>
  <c r="P15" i="54"/>
  <c r="Q15" i="54"/>
  <c r="N15" i="54"/>
  <c r="O15" i="54"/>
  <c r="R15" i="54"/>
  <c r="K15" i="54"/>
  <c r="Q14" i="54"/>
  <c r="P13" i="54"/>
  <c r="Q13" i="54"/>
  <c r="N13" i="54"/>
  <c r="O13" i="54"/>
  <c r="R13" i="54"/>
  <c r="K13" i="54"/>
  <c r="P16" i="54"/>
  <c r="Q16" i="54"/>
  <c r="R16" i="54"/>
  <c r="K16" i="54"/>
  <c r="N16" i="54"/>
  <c r="O16" i="54"/>
  <c r="N29" i="54"/>
  <c r="P29" i="54"/>
  <c r="Q29" i="54"/>
  <c r="R29" i="54"/>
  <c r="Q29" i="53"/>
  <c r="N45" i="54"/>
  <c r="P45" i="54"/>
  <c r="K45" i="54"/>
  <c r="R45" i="54"/>
  <c r="R45" i="53"/>
  <c r="K45" i="53"/>
  <c r="P45" i="53"/>
  <c r="N45" i="53"/>
  <c r="M19" i="51"/>
  <c r="L19" i="51"/>
  <c r="L30" i="50"/>
  <c r="K30" i="50"/>
  <c r="P45" i="51"/>
  <c r="R45" i="51"/>
  <c r="K45" i="51"/>
  <c r="N45" i="51"/>
  <c r="Q36" i="47"/>
  <c r="P33" i="47"/>
  <c r="P78" i="47"/>
  <c r="L44" i="49"/>
  <c r="M44" i="49"/>
  <c r="L19" i="50"/>
  <c r="L19" i="49"/>
  <c r="L9" i="48"/>
  <c r="M9" i="48"/>
  <c r="L25" i="48"/>
  <c r="M25" i="48"/>
  <c r="N25" i="48"/>
  <c r="L32" i="48"/>
  <c r="M32" i="48"/>
  <c r="N32" i="48"/>
  <c r="L31" i="48"/>
  <c r="M31" i="48"/>
  <c r="N31" i="48"/>
  <c r="L35" i="48"/>
  <c r="M35" i="48"/>
  <c r="N35" i="48"/>
  <c r="L36" i="48"/>
  <c r="K36" i="48"/>
  <c r="L24" i="48"/>
  <c r="L30" i="49"/>
  <c r="L23" i="46"/>
  <c r="K23" i="46"/>
  <c r="R24" i="45"/>
  <c r="S24" i="45"/>
  <c r="T24" i="45"/>
  <c r="L35" i="46"/>
  <c r="M35" i="46"/>
  <c r="N35" i="46"/>
  <c r="L29" i="46"/>
  <c r="K29" i="46"/>
  <c r="R23" i="45"/>
  <c r="S23" i="45"/>
  <c r="T23" i="45"/>
  <c r="I8" i="46"/>
  <c r="L8" i="46"/>
  <c r="K8" i="46"/>
  <c r="L24" i="46"/>
  <c r="M24" i="46"/>
  <c r="N24" i="46"/>
  <c r="L34" i="46"/>
  <c r="M34" i="46"/>
  <c r="N34" i="46"/>
  <c r="L9" i="46"/>
  <c r="M9" i="46"/>
  <c r="L30" i="46"/>
  <c r="M30" i="46"/>
  <c r="N30" i="46"/>
  <c r="L31" i="46"/>
  <c r="K31" i="46"/>
  <c r="I26" i="46"/>
  <c r="I21" i="46"/>
  <c r="T8" i="45"/>
  <c r="S8" i="45"/>
  <c r="K11" i="46"/>
  <c r="K10" i="46"/>
  <c r="M32" i="46"/>
  <c r="N32" i="46"/>
  <c r="K33" i="46"/>
  <c r="I22" i="48"/>
  <c r="K31" i="48"/>
  <c r="L44" i="48"/>
  <c r="L19" i="48"/>
  <c r="L45" i="46"/>
  <c r="K45" i="46"/>
  <c r="L30" i="48"/>
  <c r="L48" i="46"/>
  <c r="M48" i="46"/>
  <c r="L47" i="46"/>
  <c r="K47" i="46"/>
  <c r="L19" i="46"/>
  <c r="M19" i="46"/>
  <c r="L46" i="46"/>
  <c r="K46" i="46"/>
  <c r="R36" i="47"/>
  <c r="S36" i="47"/>
  <c r="T36" i="47"/>
  <c r="U36" i="47"/>
  <c r="M13" i="47"/>
  <c r="M16" i="47"/>
  <c r="I17" i="46"/>
  <c r="L17" i="46"/>
  <c r="K17" i="46"/>
  <c r="L18" i="46"/>
  <c r="L43" i="46"/>
  <c r="I42" i="46"/>
  <c r="L42" i="46"/>
  <c r="K42" i="46"/>
  <c r="M19" i="55"/>
  <c r="L19" i="55"/>
  <c r="P19" i="55"/>
  <c r="P19" i="53"/>
  <c r="N19" i="53"/>
  <c r="O19" i="53"/>
  <c r="K19" i="53"/>
  <c r="R19" i="53"/>
  <c r="Q19" i="53"/>
  <c r="M24" i="53"/>
  <c r="L24" i="53"/>
  <c r="M9" i="53"/>
  <c r="L9" i="53"/>
  <c r="M44" i="53"/>
  <c r="L44" i="53"/>
  <c r="M30" i="53"/>
  <c r="L30" i="53"/>
  <c r="L19" i="54"/>
  <c r="M19" i="54"/>
  <c r="O45" i="54"/>
  <c r="Q45" i="54"/>
  <c r="Q45" i="53"/>
  <c r="O45" i="53"/>
  <c r="M30" i="50"/>
  <c r="N30" i="50"/>
  <c r="M23" i="46"/>
  <c r="K25" i="48"/>
  <c r="K44" i="49"/>
  <c r="K9" i="46"/>
  <c r="L11" i="48"/>
  <c r="K11" i="48"/>
  <c r="L22" i="48"/>
  <c r="K22" i="48"/>
  <c r="K35" i="48"/>
  <c r="K24" i="48"/>
  <c r="P19" i="51"/>
  <c r="Q19" i="51"/>
  <c r="R19" i="51"/>
  <c r="K19" i="51"/>
  <c r="N19" i="51"/>
  <c r="K9" i="48"/>
  <c r="M24" i="51"/>
  <c r="L24" i="51"/>
  <c r="M44" i="51"/>
  <c r="L44" i="51"/>
  <c r="K32" i="48"/>
  <c r="M30" i="51"/>
  <c r="L30" i="51"/>
  <c r="M36" i="48"/>
  <c r="N36" i="48"/>
  <c r="L9" i="51"/>
  <c r="M9" i="51"/>
  <c r="O45" i="51"/>
  <c r="Q45" i="51"/>
  <c r="L44" i="50"/>
  <c r="M24" i="48"/>
  <c r="M22" i="48"/>
  <c r="N22" i="48"/>
  <c r="L36" i="49"/>
  <c r="M36" i="49"/>
  <c r="N36" i="49"/>
  <c r="L11" i="49"/>
  <c r="M11" i="49"/>
  <c r="N11" i="49"/>
  <c r="L32" i="49"/>
  <c r="K32" i="49"/>
  <c r="L9" i="50"/>
  <c r="L21" i="46"/>
  <c r="K21" i="46"/>
  <c r="L24" i="50"/>
  <c r="L35" i="49"/>
  <c r="M35" i="49"/>
  <c r="N35" i="49"/>
  <c r="L31" i="49"/>
  <c r="K31" i="49"/>
  <c r="L25" i="49"/>
  <c r="K25" i="49"/>
  <c r="M19" i="50"/>
  <c r="K19" i="50"/>
  <c r="L46" i="48"/>
  <c r="K46" i="48"/>
  <c r="L33" i="48"/>
  <c r="L24" i="49"/>
  <c r="I22" i="49"/>
  <c r="M19" i="49"/>
  <c r="K19" i="49"/>
  <c r="L20" i="48"/>
  <c r="M20" i="48"/>
  <c r="L49" i="48"/>
  <c r="K49" i="48"/>
  <c r="L34" i="48"/>
  <c r="K34" i="48"/>
  <c r="L9" i="49"/>
  <c r="L47" i="48"/>
  <c r="K47" i="48"/>
  <c r="L48" i="48"/>
  <c r="K48" i="48"/>
  <c r="K35" i="46"/>
  <c r="L12" i="48"/>
  <c r="M12" i="48"/>
  <c r="N12" i="48"/>
  <c r="K30" i="49"/>
  <c r="M30" i="49"/>
  <c r="N44" i="49"/>
  <c r="M29" i="46"/>
  <c r="N29" i="46"/>
  <c r="N39" i="45"/>
  <c r="T39" i="45"/>
  <c r="M39" i="45"/>
  <c r="M31" i="46"/>
  <c r="N31" i="46"/>
  <c r="L26" i="46"/>
  <c r="K26" i="46"/>
  <c r="K24" i="46"/>
  <c r="I8" i="48"/>
  <c r="L8" i="48"/>
  <c r="K34" i="46"/>
  <c r="I27" i="48"/>
  <c r="K30" i="46"/>
  <c r="M45" i="46"/>
  <c r="N45" i="46"/>
  <c r="M47" i="46"/>
  <c r="N47" i="46"/>
  <c r="M46" i="46"/>
  <c r="N46" i="46"/>
  <c r="I18" i="48"/>
  <c r="L18" i="48"/>
  <c r="K18" i="48"/>
  <c r="K19" i="48"/>
  <c r="M19" i="48"/>
  <c r="K44" i="48"/>
  <c r="M44" i="48"/>
  <c r="M30" i="48"/>
  <c r="K30" i="48"/>
  <c r="M46" i="48"/>
  <c r="N46" i="48"/>
  <c r="I43" i="48"/>
  <c r="L43" i="48"/>
  <c r="K43" i="48"/>
  <c r="K48" i="46"/>
  <c r="N9" i="48"/>
  <c r="Q33" i="47"/>
  <c r="Q78" i="47"/>
  <c r="O13" i="47"/>
  <c r="O16" i="47"/>
  <c r="N13" i="47"/>
  <c r="N16" i="47"/>
  <c r="T9" i="47"/>
  <c r="U9" i="47"/>
  <c r="R33" i="47"/>
  <c r="T11" i="47"/>
  <c r="U11" i="47"/>
  <c r="K43" i="46"/>
  <c r="M43" i="46"/>
  <c r="M18" i="46"/>
  <c r="K18" i="46"/>
  <c r="N23" i="46"/>
  <c r="M21" i="46"/>
  <c r="N21" i="46"/>
  <c r="N9" i="46"/>
  <c r="M8" i="46"/>
  <c r="F175" i="15"/>
  <c r="C39" i="45"/>
  <c r="I39" i="45"/>
  <c r="C40" i="45"/>
  <c r="I40" i="45"/>
  <c r="C41" i="45"/>
  <c r="I41" i="45"/>
  <c r="O41" i="45"/>
  <c r="C38" i="45"/>
  <c r="I38" i="45"/>
  <c r="C60" i="45"/>
  <c r="I60" i="45"/>
  <c r="C28" i="45"/>
  <c r="I28" i="45"/>
  <c r="C29" i="45"/>
  <c r="I29" i="45"/>
  <c r="C30" i="45"/>
  <c r="C31" i="45"/>
  <c r="C32" i="45"/>
  <c r="I32" i="45"/>
  <c r="C33" i="45"/>
  <c r="I33" i="45"/>
  <c r="C34" i="45"/>
  <c r="I34" i="45"/>
  <c r="C35" i="45"/>
  <c r="I35" i="45"/>
  <c r="C36" i="45"/>
  <c r="I36" i="45"/>
  <c r="C27" i="45"/>
  <c r="I27" i="45"/>
  <c r="C23" i="45"/>
  <c r="I23" i="45"/>
  <c r="C24" i="45"/>
  <c r="I24" i="45"/>
  <c r="C25" i="45"/>
  <c r="I25" i="45"/>
  <c r="C22" i="45"/>
  <c r="I22" i="45"/>
  <c r="C44" i="45"/>
  <c r="I44" i="45"/>
  <c r="C45" i="45"/>
  <c r="I45" i="45"/>
  <c r="C46" i="45"/>
  <c r="I46" i="45"/>
  <c r="C47" i="45"/>
  <c r="C48" i="45"/>
  <c r="I48" i="45"/>
  <c r="O48" i="45"/>
  <c r="C49" i="45"/>
  <c r="I49" i="45"/>
  <c r="O49" i="45"/>
  <c r="P49" i="45"/>
  <c r="C50" i="45"/>
  <c r="I50" i="45"/>
  <c r="O50" i="45"/>
  <c r="C51" i="45"/>
  <c r="I51" i="45"/>
  <c r="O51" i="45"/>
  <c r="P51" i="45"/>
  <c r="C52" i="45"/>
  <c r="I52" i="45"/>
  <c r="O52" i="45"/>
  <c r="P52" i="45"/>
  <c r="C53" i="45"/>
  <c r="I53" i="45"/>
  <c r="O53" i="45"/>
  <c r="C54" i="45"/>
  <c r="I54" i="45"/>
  <c r="O54" i="45"/>
  <c r="C55" i="45"/>
  <c r="I55" i="45"/>
  <c r="O55" i="45"/>
  <c r="C56" i="45"/>
  <c r="I56" i="45"/>
  <c r="O56" i="45"/>
  <c r="C57" i="45"/>
  <c r="I57" i="45"/>
  <c r="C58" i="45"/>
  <c r="I58" i="45"/>
  <c r="C43" i="45"/>
  <c r="I43" i="45"/>
  <c r="C19" i="45"/>
  <c r="C20" i="45"/>
  <c r="I20" i="45"/>
  <c r="O20" i="45"/>
  <c r="C18" i="45"/>
  <c r="I18" i="45"/>
  <c r="C10" i="45"/>
  <c r="I10" i="45"/>
  <c r="C11" i="45"/>
  <c r="I11" i="45"/>
  <c r="C12" i="45"/>
  <c r="I12" i="45"/>
  <c r="C13" i="45"/>
  <c r="I13" i="45"/>
  <c r="C14" i="45"/>
  <c r="I14" i="45"/>
  <c r="C15" i="45"/>
  <c r="I15" i="45"/>
  <c r="C16" i="45"/>
  <c r="I16" i="45"/>
  <c r="C9" i="45"/>
  <c r="I9" i="45"/>
  <c r="M60" i="45"/>
  <c r="L59" i="45"/>
  <c r="K59" i="45"/>
  <c r="J59" i="45"/>
  <c r="H59" i="45"/>
  <c r="G59" i="45"/>
  <c r="F59" i="45"/>
  <c r="E59" i="45"/>
  <c r="M36" i="45"/>
  <c r="U36" i="45"/>
  <c r="M35" i="45"/>
  <c r="U35" i="45"/>
  <c r="M34" i="45"/>
  <c r="U34" i="45"/>
  <c r="M33" i="45"/>
  <c r="U33" i="45"/>
  <c r="M32" i="45"/>
  <c r="U32" i="45"/>
  <c r="M31" i="45"/>
  <c r="U31" i="45"/>
  <c r="M30" i="45"/>
  <c r="U30" i="45"/>
  <c r="M29" i="45"/>
  <c r="U29" i="45"/>
  <c r="M28" i="45"/>
  <c r="U28" i="45"/>
  <c r="M27" i="45"/>
  <c r="U27" i="45"/>
  <c r="J26" i="45"/>
  <c r="H26" i="45"/>
  <c r="G26" i="45"/>
  <c r="F26" i="45"/>
  <c r="E26" i="45"/>
  <c r="E61" i="45"/>
  <c r="M25" i="45"/>
  <c r="U25" i="45"/>
  <c r="M24" i="45"/>
  <c r="U24" i="45"/>
  <c r="M23" i="45"/>
  <c r="U23" i="45"/>
  <c r="M22" i="45"/>
  <c r="U22" i="45"/>
  <c r="K21" i="45"/>
  <c r="J21" i="45"/>
  <c r="H21" i="45"/>
  <c r="G21" i="45"/>
  <c r="F21" i="45"/>
  <c r="E21" i="45"/>
  <c r="M58" i="45"/>
  <c r="M57" i="45"/>
  <c r="U57" i="45"/>
  <c r="K42" i="45"/>
  <c r="J42" i="45"/>
  <c r="H42" i="45"/>
  <c r="G42" i="45"/>
  <c r="F42" i="45"/>
  <c r="E42" i="45"/>
  <c r="M38" i="45"/>
  <c r="U38" i="45"/>
  <c r="K37" i="45"/>
  <c r="J37" i="45"/>
  <c r="H37" i="45"/>
  <c r="G37" i="45"/>
  <c r="F37" i="45"/>
  <c r="E37" i="45"/>
  <c r="K17" i="45"/>
  <c r="J17" i="45"/>
  <c r="H17" i="45"/>
  <c r="G17" i="45"/>
  <c r="F17" i="45"/>
  <c r="E17" i="45"/>
  <c r="M16" i="45"/>
  <c r="U16" i="45"/>
  <c r="M15" i="45"/>
  <c r="U15" i="45"/>
  <c r="M11" i="45"/>
  <c r="U11" i="45"/>
  <c r="M10" i="45"/>
  <c r="U10" i="45"/>
  <c r="M9" i="45"/>
  <c r="U9" i="45"/>
  <c r="K8" i="45"/>
  <c r="J8" i="45"/>
  <c r="H8" i="45"/>
  <c r="G8" i="45"/>
  <c r="F8" i="45"/>
  <c r="E8" i="45"/>
  <c r="M24" i="55"/>
  <c r="I24" i="56"/>
  <c r="M49" i="48"/>
  <c r="M9" i="55"/>
  <c r="L9" i="55"/>
  <c r="M44" i="55"/>
  <c r="L44" i="55"/>
  <c r="M30" i="55"/>
  <c r="L30" i="55"/>
  <c r="N19" i="55"/>
  <c r="K19" i="55"/>
  <c r="R19" i="55"/>
  <c r="L24" i="55"/>
  <c r="L32" i="53"/>
  <c r="M32" i="53"/>
  <c r="R9" i="53"/>
  <c r="K9" i="53"/>
  <c r="N9" i="53"/>
  <c r="N30" i="53"/>
  <c r="K30" i="53"/>
  <c r="R30" i="53"/>
  <c r="P30" i="53"/>
  <c r="P44" i="53"/>
  <c r="N44" i="53"/>
  <c r="K44" i="53"/>
  <c r="P24" i="53"/>
  <c r="K24" i="53"/>
  <c r="N24" i="53"/>
  <c r="R24" i="53"/>
  <c r="R19" i="54"/>
  <c r="P19" i="54"/>
  <c r="N19" i="54"/>
  <c r="K19" i="54"/>
  <c r="P9" i="53"/>
  <c r="Q9" i="53"/>
  <c r="L20" i="53"/>
  <c r="M20" i="53"/>
  <c r="I18" i="53"/>
  <c r="M30" i="54"/>
  <c r="L30" i="54"/>
  <c r="M44" i="54"/>
  <c r="L44" i="54"/>
  <c r="M9" i="54"/>
  <c r="L9" i="54"/>
  <c r="L24" i="54"/>
  <c r="M24" i="54"/>
  <c r="N24" i="48"/>
  <c r="M48" i="48"/>
  <c r="N48" i="48"/>
  <c r="M47" i="48"/>
  <c r="N47" i="48"/>
  <c r="K35" i="49"/>
  <c r="M26" i="46"/>
  <c r="N26" i="46"/>
  <c r="M25" i="49"/>
  <c r="N25" i="49"/>
  <c r="K11" i="49"/>
  <c r="M31" i="49"/>
  <c r="N31" i="49"/>
  <c r="M11" i="48"/>
  <c r="N11" i="48"/>
  <c r="L48" i="50"/>
  <c r="K48" i="50"/>
  <c r="L33" i="50"/>
  <c r="K33" i="50"/>
  <c r="P24" i="51"/>
  <c r="K24" i="51"/>
  <c r="N24" i="51"/>
  <c r="R24" i="51"/>
  <c r="M32" i="49"/>
  <c r="N32" i="49"/>
  <c r="K36" i="49"/>
  <c r="L11" i="50"/>
  <c r="K11" i="50"/>
  <c r="Q9" i="51"/>
  <c r="P44" i="51"/>
  <c r="K44" i="51"/>
  <c r="N44" i="51"/>
  <c r="Q24" i="51"/>
  <c r="L27" i="48"/>
  <c r="K27" i="48"/>
  <c r="L25" i="50"/>
  <c r="K25" i="50"/>
  <c r="L35" i="50"/>
  <c r="M35" i="50"/>
  <c r="N35" i="50"/>
  <c r="R9" i="51"/>
  <c r="K9" i="51"/>
  <c r="N9" i="51"/>
  <c r="Q44" i="51"/>
  <c r="L31" i="50"/>
  <c r="M31" i="50"/>
  <c r="M34" i="48"/>
  <c r="N34" i="48"/>
  <c r="M20" i="51"/>
  <c r="L20" i="51"/>
  <c r="I18" i="51"/>
  <c r="M32" i="51"/>
  <c r="L32" i="51"/>
  <c r="L36" i="50"/>
  <c r="M36" i="50"/>
  <c r="N36" i="50"/>
  <c r="P30" i="51"/>
  <c r="K30" i="51"/>
  <c r="N30" i="51"/>
  <c r="R30" i="51"/>
  <c r="O19" i="51"/>
  <c r="L34" i="49"/>
  <c r="M34" i="49"/>
  <c r="N34" i="49"/>
  <c r="I27" i="50"/>
  <c r="L20" i="50"/>
  <c r="M20" i="50"/>
  <c r="M18" i="50"/>
  <c r="N18" i="50"/>
  <c r="I18" i="50"/>
  <c r="L18" i="50"/>
  <c r="K18" i="50"/>
  <c r="I22" i="50"/>
  <c r="M48" i="50"/>
  <c r="N48" i="50"/>
  <c r="N19" i="50"/>
  <c r="K24" i="50"/>
  <c r="M24" i="50"/>
  <c r="L32" i="50"/>
  <c r="L12" i="49"/>
  <c r="M12" i="49"/>
  <c r="N12" i="49"/>
  <c r="L49" i="49"/>
  <c r="M49" i="49"/>
  <c r="L46" i="49"/>
  <c r="K46" i="49"/>
  <c r="L47" i="49"/>
  <c r="M47" i="49"/>
  <c r="N47" i="49"/>
  <c r="K9" i="50"/>
  <c r="M9" i="50"/>
  <c r="K44" i="50"/>
  <c r="M44" i="50"/>
  <c r="U39" i="45"/>
  <c r="I43" i="49"/>
  <c r="L43" i="49"/>
  <c r="K43" i="49"/>
  <c r="L48" i="49"/>
  <c r="I8" i="49"/>
  <c r="L20" i="49"/>
  <c r="M20" i="49"/>
  <c r="M18" i="49"/>
  <c r="N18" i="49"/>
  <c r="I18" i="49"/>
  <c r="L18" i="49"/>
  <c r="K18" i="49"/>
  <c r="L33" i="49"/>
  <c r="I27" i="49"/>
  <c r="M9" i="49"/>
  <c r="K9" i="49"/>
  <c r="M33" i="48"/>
  <c r="N33" i="48"/>
  <c r="K33" i="48"/>
  <c r="K12" i="48"/>
  <c r="N30" i="49"/>
  <c r="N19" i="49"/>
  <c r="K24" i="49"/>
  <c r="M24" i="49"/>
  <c r="L22" i="49"/>
  <c r="K22" i="49"/>
  <c r="L39" i="46"/>
  <c r="I37" i="46"/>
  <c r="M59" i="45"/>
  <c r="U60" i="45"/>
  <c r="U8" i="45"/>
  <c r="O58" i="45"/>
  <c r="P58" i="45"/>
  <c r="M37" i="45"/>
  <c r="O57" i="45"/>
  <c r="P57" i="45"/>
  <c r="J61" i="45"/>
  <c r="M17" i="45"/>
  <c r="F61" i="45"/>
  <c r="O25" i="45"/>
  <c r="P25" i="45"/>
  <c r="O36" i="45"/>
  <c r="O28" i="45"/>
  <c r="O60" i="45"/>
  <c r="O59" i="45"/>
  <c r="C59" i="45"/>
  <c r="C17" i="45"/>
  <c r="I21" i="45"/>
  <c r="L34" i="45"/>
  <c r="K8" i="48"/>
  <c r="N30" i="48"/>
  <c r="C42" i="45"/>
  <c r="C37" i="45"/>
  <c r="N19" i="48"/>
  <c r="M18" i="48"/>
  <c r="N18" i="48"/>
  <c r="N44" i="48"/>
  <c r="O27" i="45"/>
  <c r="P27" i="45"/>
  <c r="C26" i="45"/>
  <c r="S33" i="47"/>
  <c r="S78" i="47"/>
  <c r="P13" i="47"/>
  <c r="P16" i="47"/>
  <c r="R78" i="47"/>
  <c r="R13" i="47"/>
  <c r="R16" i="47"/>
  <c r="N43" i="46"/>
  <c r="M42" i="46"/>
  <c r="N42" i="46"/>
  <c r="N8" i="46"/>
  <c r="N18" i="46"/>
  <c r="M17" i="46"/>
  <c r="N17" i="46"/>
  <c r="L9" i="45"/>
  <c r="H61" i="45"/>
  <c r="O35" i="45"/>
  <c r="P35" i="45"/>
  <c r="O34" i="45"/>
  <c r="P34" i="45"/>
  <c r="O33" i="45"/>
  <c r="P33" i="45"/>
  <c r="G61" i="45"/>
  <c r="O10" i="45"/>
  <c r="P10" i="45"/>
  <c r="L32" i="45"/>
  <c r="I47" i="45"/>
  <c r="I42" i="45"/>
  <c r="I31" i="45"/>
  <c r="L31" i="45"/>
  <c r="L27" i="45"/>
  <c r="L46" i="45"/>
  <c r="L48" i="45"/>
  <c r="L57" i="45"/>
  <c r="L52" i="45"/>
  <c r="O22" i="45"/>
  <c r="P22" i="45"/>
  <c r="O45" i="45"/>
  <c r="P45" i="45"/>
  <c r="O15" i="45"/>
  <c r="P15" i="45"/>
  <c r="L33" i="45"/>
  <c r="L35" i="45"/>
  <c r="L22" i="45"/>
  <c r="L24" i="45"/>
  <c r="L23" i="45"/>
  <c r="L25" i="45"/>
  <c r="L58" i="45"/>
  <c r="L45" i="45"/>
  <c r="L49" i="45"/>
  <c r="L51" i="45"/>
  <c r="L11" i="45"/>
  <c r="L15" i="45"/>
  <c r="L10" i="45"/>
  <c r="L14" i="45"/>
  <c r="O9" i="45"/>
  <c r="O12" i="45"/>
  <c r="P12" i="45"/>
  <c r="L12" i="45"/>
  <c r="O14" i="45"/>
  <c r="P14" i="45"/>
  <c r="L39" i="45"/>
  <c r="O39" i="45"/>
  <c r="P39" i="45"/>
  <c r="L43" i="45"/>
  <c r="O43" i="45"/>
  <c r="O46" i="45"/>
  <c r="P46" i="45"/>
  <c r="O29" i="45"/>
  <c r="P29" i="45"/>
  <c r="O32" i="45"/>
  <c r="P32" i="45"/>
  <c r="O18" i="45"/>
  <c r="L18" i="45"/>
  <c r="L29" i="45"/>
  <c r="M26" i="45"/>
  <c r="M42" i="45"/>
  <c r="O16" i="45"/>
  <c r="P16" i="45"/>
  <c r="L16" i="45"/>
  <c r="O11" i="45"/>
  <c r="P11" i="45"/>
  <c r="O13" i="45"/>
  <c r="P13" i="45"/>
  <c r="L13" i="45"/>
  <c r="O38" i="45"/>
  <c r="I37" i="45"/>
  <c r="O40" i="45"/>
  <c r="P40" i="45"/>
  <c r="L40" i="45"/>
  <c r="O24" i="45"/>
  <c r="P24" i="45"/>
  <c r="O23" i="45"/>
  <c r="P23" i="45"/>
  <c r="C8" i="45"/>
  <c r="I19" i="45"/>
  <c r="O19" i="45"/>
  <c r="C21" i="45"/>
  <c r="I30" i="45"/>
  <c r="O30" i="45"/>
  <c r="P30" i="45"/>
  <c r="I8" i="45"/>
  <c r="M8" i="45"/>
  <c r="L44" i="45"/>
  <c r="M21" i="45"/>
  <c r="K26" i="45"/>
  <c r="K61" i="45"/>
  <c r="I59" i="45"/>
  <c r="M24" i="56"/>
  <c r="L24" i="56"/>
  <c r="K35" i="50"/>
  <c r="M43" i="48"/>
  <c r="N43" i="48"/>
  <c r="L32" i="55"/>
  <c r="M32" i="55"/>
  <c r="O19" i="55"/>
  <c r="M20" i="55"/>
  <c r="M18" i="55"/>
  <c r="L20" i="55"/>
  <c r="P20" i="55"/>
  <c r="I18" i="55"/>
  <c r="N44" i="55"/>
  <c r="P44" i="55"/>
  <c r="Q44" i="55"/>
  <c r="K44" i="55"/>
  <c r="N9" i="55"/>
  <c r="R9" i="55"/>
  <c r="K9" i="55"/>
  <c r="N30" i="55"/>
  <c r="K30" i="55"/>
  <c r="R30" i="55"/>
  <c r="P30" i="55"/>
  <c r="P9" i="55"/>
  <c r="N24" i="55"/>
  <c r="R24" i="55"/>
  <c r="K24" i="55"/>
  <c r="P24" i="55"/>
  <c r="Q19" i="55"/>
  <c r="L46" i="53"/>
  <c r="M46" i="53"/>
  <c r="M18" i="53"/>
  <c r="O19" i="54"/>
  <c r="Q24" i="53"/>
  <c r="Q44" i="53"/>
  <c r="M36" i="53"/>
  <c r="L36" i="53"/>
  <c r="M31" i="53"/>
  <c r="L31" i="53"/>
  <c r="M25" i="53"/>
  <c r="M22" i="53"/>
  <c r="L25" i="53"/>
  <c r="I22" i="53"/>
  <c r="M11" i="53"/>
  <c r="L11" i="53"/>
  <c r="M33" i="53"/>
  <c r="L33" i="53"/>
  <c r="R24" i="54"/>
  <c r="P24" i="54"/>
  <c r="K24" i="54"/>
  <c r="N24" i="54"/>
  <c r="K30" i="54"/>
  <c r="N30" i="54"/>
  <c r="P30" i="54"/>
  <c r="R30" i="54"/>
  <c r="P20" i="53"/>
  <c r="P18" i="53"/>
  <c r="R20" i="53"/>
  <c r="R18" i="53"/>
  <c r="N20" i="53"/>
  <c r="N18" i="53"/>
  <c r="O18" i="53"/>
  <c r="L18" i="53"/>
  <c r="K18" i="53"/>
  <c r="O30" i="53"/>
  <c r="M40" i="53"/>
  <c r="M38" i="53"/>
  <c r="L40" i="53"/>
  <c r="I38" i="53"/>
  <c r="N9" i="54"/>
  <c r="K9" i="54"/>
  <c r="R9" i="54"/>
  <c r="N44" i="54"/>
  <c r="P44" i="54"/>
  <c r="Q44" i="54"/>
  <c r="K44" i="54"/>
  <c r="L20" i="54"/>
  <c r="M20" i="54"/>
  <c r="I18" i="54"/>
  <c r="O24" i="53"/>
  <c r="Q30" i="53"/>
  <c r="R32" i="53"/>
  <c r="K32" i="53"/>
  <c r="P32" i="53"/>
  <c r="Q32" i="53"/>
  <c r="N32" i="53"/>
  <c r="O32" i="53"/>
  <c r="M35" i="53"/>
  <c r="L35" i="53"/>
  <c r="M48" i="53"/>
  <c r="L48" i="53"/>
  <c r="P9" i="54"/>
  <c r="Q9" i="54"/>
  <c r="O44" i="53"/>
  <c r="O9" i="53"/>
  <c r="Q19" i="54"/>
  <c r="M32" i="54"/>
  <c r="L32" i="54"/>
  <c r="M33" i="50"/>
  <c r="N33" i="50"/>
  <c r="L22" i="50"/>
  <c r="K22" i="50"/>
  <c r="K49" i="49"/>
  <c r="K47" i="49"/>
  <c r="M11" i="50"/>
  <c r="N11" i="50"/>
  <c r="M25" i="50"/>
  <c r="N25" i="50"/>
  <c r="K36" i="50"/>
  <c r="K12" i="49"/>
  <c r="M46" i="49"/>
  <c r="N46" i="49"/>
  <c r="K31" i="50"/>
  <c r="M8" i="48"/>
  <c r="N8" i="48"/>
  <c r="M33" i="51"/>
  <c r="L33" i="51"/>
  <c r="K34" i="49"/>
  <c r="L36" i="51"/>
  <c r="M36" i="51"/>
  <c r="M31" i="51"/>
  <c r="L31" i="51"/>
  <c r="O9" i="51"/>
  <c r="M11" i="51"/>
  <c r="L11" i="51"/>
  <c r="L49" i="50"/>
  <c r="K49" i="50"/>
  <c r="M25" i="51"/>
  <c r="L25" i="51"/>
  <c r="I22" i="51"/>
  <c r="M40" i="51"/>
  <c r="L40" i="51"/>
  <c r="I38" i="51"/>
  <c r="M46" i="51"/>
  <c r="L46" i="51"/>
  <c r="L12" i="50"/>
  <c r="M12" i="50"/>
  <c r="N12" i="50"/>
  <c r="O30" i="51"/>
  <c r="P20" i="51"/>
  <c r="P18" i="51"/>
  <c r="R20" i="51"/>
  <c r="R18" i="51"/>
  <c r="N20" i="51"/>
  <c r="N18" i="51"/>
  <c r="O18" i="51"/>
  <c r="L18" i="51"/>
  <c r="K18" i="51"/>
  <c r="M35" i="51"/>
  <c r="L35" i="51"/>
  <c r="M48" i="51"/>
  <c r="L48" i="51"/>
  <c r="L47" i="50"/>
  <c r="K47" i="50"/>
  <c r="I8" i="50"/>
  <c r="L8" i="50"/>
  <c r="L34" i="50"/>
  <c r="K34" i="50"/>
  <c r="P32" i="51"/>
  <c r="Q32" i="51"/>
  <c r="R32" i="51"/>
  <c r="N32" i="51"/>
  <c r="O32" i="51"/>
  <c r="K32" i="51"/>
  <c r="M18" i="51"/>
  <c r="O44" i="51"/>
  <c r="O24" i="51"/>
  <c r="Q30" i="51"/>
  <c r="L40" i="50"/>
  <c r="I38" i="50"/>
  <c r="L38" i="50"/>
  <c r="K38" i="50"/>
  <c r="N24" i="50"/>
  <c r="N44" i="50"/>
  <c r="N9" i="50"/>
  <c r="L46" i="50"/>
  <c r="I43" i="50"/>
  <c r="L43" i="50"/>
  <c r="K43" i="50"/>
  <c r="K32" i="50"/>
  <c r="M32" i="50"/>
  <c r="N32" i="50"/>
  <c r="N31" i="50"/>
  <c r="M27" i="48"/>
  <c r="N27" i="48"/>
  <c r="L8" i="49"/>
  <c r="L40" i="49"/>
  <c r="I38" i="49"/>
  <c r="L38" i="49"/>
  <c r="K38" i="49"/>
  <c r="K48" i="49"/>
  <c r="M48" i="49"/>
  <c r="N48" i="49"/>
  <c r="N24" i="49"/>
  <c r="M22" i="49"/>
  <c r="N22" i="49"/>
  <c r="N9" i="49"/>
  <c r="M8" i="49"/>
  <c r="M33" i="49"/>
  <c r="K33" i="49"/>
  <c r="L27" i="49"/>
  <c r="K27" i="49"/>
  <c r="M39" i="46"/>
  <c r="K39" i="46"/>
  <c r="L37" i="46"/>
  <c r="I61" i="46"/>
  <c r="I38" i="48"/>
  <c r="L40" i="48"/>
  <c r="L37" i="45"/>
  <c r="O47" i="45"/>
  <c r="P47" i="45"/>
  <c r="I26" i="45"/>
  <c r="L26" i="45"/>
  <c r="L47" i="45"/>
  <c r="O31" i="45"/>
  <c r="P31" i="45"/>
  <c r="C61" i="45"/>
  <c r="T35" i="47"/>
  <c r="T33" i="47"/>
  <c r="T12" i="47"/>
  <c r="U12" i="47"/>
  <c r="S13" i="47"/>
  <c r="S16" i="47"/>
  <c r="Q13" i="47"/>
  <c r="Q16" i="47"/>
  <c r="L42" i="45"/>
  <c r="O37" i="45"/>
  <c r="P37" i="45"/>
  <c r="O44" i="45"/>
  <c r="P44" i="45"/>
  <c r="L21" i="45"/>
  <c r="M61" i="45"/>
  <c r="L8" i="45"/>
  <c r="P18" i="45"/>
  <c r="O17" i="45"/>
  <c r="O21" i="45"/>
  <c r="P21" i="45"/>
  <c r="I17" i="45"/>
  <c r="L17" i="45"/>
  <c r="P43" i="45"/>
  <c r="L30" i="45"/>
  <c r="P9" i="45"/>
  <c r="O8" i="45"/>
  <c r="I43" i="53"/>
  <c r="L25" i="55"/>
  <c r="I25" i="56"/>
  <c r="R24" i="56"/>
  <c r="P24" i="56"/>
  <c r="N24" i="56"/>
  <c r="K24" i="56"/>
  <c r="M35" i="55"/>
  <c r="L35" i="55"/>
  <c r="M40" i="55"/>
  <c r="L40" i="55"/>
  <c r="P40" i="55"/>
  <c r="I38" i="55"/>
  <c r="M48" i="55"/>
  <c r="L48" i="55"/>
  <c r="M33" i="55"/>
  <c r="L33" i="55"/>
  <c r="L36" i="55"/>
  <c r="M36" i="55"/>
  <c r="L46" i="55"/>
  <c r="M46" i="55"/>
  <c r="O24" i="55"/>
  <c r="O30" i="55"/>
  <c r="R20" i="55"/>
  <c r="R18" i="55"/>
  <c r="N20" i="55"/>
  <c r="N18" i="55"/>
  <c r="O18" i="55"/>
  <c r="L18" i="55"/>
  <c r="K18" i="55"/>
  <c r="M31" i="55"/>
  <c r="L31" i="55"/>
  <c r="Q24" i="55"/>
  <c r="Q30" i="55"/>
  <c r="L11" i="55"/>
  <c r="M11" i="55"/>
  <c r="M25" i="55"/>
  <c r="M22" i="55"/>
  <c r="I22" i="55"/>
  <c r="Q9" i="55"/>
  <c r="O9" i="55"/>
  <c r="O44" i="55"/>
  <c r="K32" i="55"/>
  <c r="P32" i="55"/>
  <c r="Q32" i="55"/>
  <c r="N32" i="55"/>
  <c r="O32" i="55"/>
  <c r="R32" i="55"/>
  <c r="M34" i="53"/>
  <c r="L34" i="53"/>
  <c r="L49" i="53"/>
  <c r="M49" i="53"/>
  <c r="P32" i="54"/>
  <c r="Q32" i="54"/>
  <c r="K32" i="54"/>
  <c r="R32" i="54"/>
  <c r="N32" i="54"/>
  <c r="O32" i="54"/>
  <c r="R35" i="53"/>
  <c r="K35" i="53"/>
  <c r="P35" i="53"/>
  <c r="Q35" i="53"/>
  <c r="N35" i="53"/>
  <c r="O35" i="53"/>
  <c r="P20" i="54"/>
  <c r="P18" i="54"/>
  <c r="N20" i="54"/>
  <c r="N18" i="54"/>
  <c r="O18" i="54"/>
  <c r="R20" i="54"/>
  <c r="R18" i="54"/>
  <c r="L18" i="54"/>
  <c r="K18" i="54"/>
  <c r="O24" i="54"/>
  <c r="K33" i="53"/>
  <c r="P33" i="53"/>
  <c r="N33" i="53"/>
  <c r="O33" i="53"/>
  <c r="R33" i="53"/>
  <c r="N11" i="53"/>
  <c r="K11" i="53"/>
  <c r="R11" i="53"/>
  <c r="P11" i="53"/>
  <c r="P25" i="53"/>
  <c r="K25" i="53"/>
  <c r="N25" i="53"/>
  <c r="R25" i="53"/>
  <c r="R22" i="53"/>
  <c r="L22" i="53"/>
  <c r="K22" i="53"/>
  <c r="P31" i="53"/>
  <c r="R31" i="53"/>
  <c r="K31" i="53"/>
  <c r="N31" i="53"/>
  <c r="L27" i="53"/>
  <c r="K27" i="53"/>
  <c r="M36" i="54"/>
  <c r="L36" i="54"/>
  <c r="Q20" i="53"/>
  <c r="Q18" i="53"/>
  <c r="K48" i="53"/>
  <c r="R48" i="53"/>
  <c r="N48" i="53"/>
  <c r="O48" i="53"/>
  <c r="P48" i="53"/>
  <c r="Q48" i="53"/>
  <c r="M35" i="54"/>
  <c r="L35" i="54"/>
  <c r="O44" i="54"/>
  <c r="O9" i="54"/>
  <c r="L40" i="54"/>
  <c r="M40" i="54"/>
  <c r="M38" i="54"/>
  <c r="I38" i="54"/>
  <c r="Q30" i="54"/>
  <c r="Q33" i="53"/>
  <c r="M11" i="54"/>
  <c r="L11" i="54"/>
  <c r="M25" i="54"/>
  <c r="M22" i="54"/>
  <c r="L25" i="54"/>
  <c r="I22" i="54"/>
  <c r="M31" i="54"/>
  <c r="L31" i="54"/>
  <c r="I27" i="54"/>
  <c r="M12" i="53"/>
  <c r="M8" i="53"/>
  <c r="L12" i="53"/>
  <c r="L48" i="54"/>
  <c r="M48" i="54"/>
  <c r="O30" i="54"/>
  <c r="M33" i="54"/>
  <c r="L33" i="54"/>
  <c r="M27" i="53"/>
  <c r="Q24" i="54"/>
  <c r="R46" i="53"/>
  <c r="P46" i="53"/>
  <c r="K46" i="53"/>
  <c r="N46" i="53"/>
  <c r="I43" i="55"/>
  <c r="M47" i="53"/>
  <c r="L47" i="53"/>
  <c r="Q20" i="54"/>
  <c r="Q18" i="54"/>
  <c r="M18" i="54"/>
  <c r="K40" i="53"/>
  <c r="R40" i="53"/>
  <c r="P40" i="53"/>
  <c r="N40" i="53"/>
  <c r="L38" i="53"/>
  <c r="I8" i="53"/>
  <c r="I27" i="53"/>
  <c r="R36" i="53"/>
  <c r="K36" i="53"/>
  <c r="P36" i="53"/>
  <c r="Q36" i="53"/>
  <c r="N36" i="53"/>
  <c r="O36" i="53"/>
  <c r="M46" i="54"/>
  <c r="L46" i="54"/>
  <c r="M34" i="50"/>
  <c r="N34" i="50"/>
  <c r="K12" i="50"/>
  <c r="M22" i="50"/>
  <c r="N22" i="50"/>
  <c r="M49" i="50"/>
  <c r="I43" i="51"/>
  <c r="M47" i="50"/>
  <c r="N47" i="50"/>
  <c r="L27" i="50"/>
  <c r="K27" i="50"/>
  <c r="P40" i="51"/>
  <c r="P38" i="51"/>
  <c r="R40" i="51"/>
  <c r="N40" i="51"/>
  <c r="K40" i="51"/>
  <c r="L38" i="51"/>
  <c r="M34" i="51"/>
  <c r="L34" i="51"/>
  <c r="L27" i="51"/>
  <c r="K27" i="51"/>
  <c r="P35" i="51"/>
  <c r="Q35" i="51"/>
  <c r="K35" i="51"/>
  <c r="N35" i="51"/>
  <c r="O35" i="51"/>
  <c r="R35" i="51"/>
  <c r="M12" i="51"/>
  <c r="L12" i="51"/>
  <c r="R46" i="51"/>
  <c r="L49" i="51"/>
  <c r="M49" i="51"/>
  <c r="R11" i="51"/>
  <c r="P11" i="51"/>
  <c r="Q11" i="51"/>
  <c r="K11" i="51"/>
  <c r="N11" i="51"/>
  <c r="L8" i="51"/>
  <c r="M27" i="51"/>
  <c r="P33" i="51"/>
  <c r="Q33" i="51"/>
  <c r="R33" i="51"/>
  <c r="N33" i="51"/>
  <c r="O33" i="51"/>
  <c r="K33" i="51"/>
  <c r="P48" i="51"/>
  <c r="Q48" i="51"/>
  <c r="R48" i="51"/>
  <c r="K48" i="51"/>
  <c r="N48" i="51"/>
  <c r="O48" i="51"/>
  <c r="P25" i="51"/>
  <c r="P22" i="51"/>
  <c r="K25" i="51"/>
  <c r="R25" i="51"/>
  <c r="R22" i="51"/>
  <c r="N25" i="51"/>
  <c r="L22" i="51"/>
  <c r="K22" i="51"/>
  <c r="M8" i="51"/>
  <c r="M22" i="51"/>
  <c r="I27" i="51"/>
  <c r="P36" i="51"/>
  <c r="Q36" i="51"/>
  <c r="N36" i="51"/>
  <c r="O36" i="51"/>
  <c r="R36" i="51"/>
  <c r="K36" i="51"/>
  <c r="I62" i="49"/>
  <c r="Q20" i="51"/>
  <c r="Q18" i="51"/>
  <c r="M47" i="51"/>
  <c r="L47" i="51"/>
  <c r="P46" i="51"/>
  <c r="Q46" i="51"/>
  <c r="K46" i="51"/>
  <c r="N46" i="51"/>
  <c r="M38" i="51"/>
  <c r="I8" i="51"/>
  <c r="P31" i="51"/>
  <c r="Q31" i="51"/>
  <c r="R31" i="51"/>
  <c r="K31" i="51"/>
  <c r="N31" i="51"/>
  <c r="I62" i="50"/>
  <c r="M8" i="50"/>
  <c r="K8" i="50"/>
  <c r="K46" i="50"/>
  <c r="M46" i="50"/>
  <c r="K40" i="50"/>
  <c r="M40" i="50"/>
  <c r="N8" i="49"/>
  <c r="K40" i="49"/>
  <c r="M40" i="49"/>
  <c r="M43" i="49"/>
  <c r="N43" i="49"/>
  <c r="N33" i="49"/>
  <c r="M27" i="49"/>
  <c r="N27" i="49"/>
  <c r="K8" i="49"/>
  <c r="L62" i="49"/>
  <c r="K62" i="49"/>
  <c r="K37" i="46"/>
  <c r="L61" i="46"/>
  <c r="K61" i="46"/>
  <c r="K40" i="48"/>
  <c r="M40" i="48"/>
  <c r="L38" i="48"/>
  <c r="I62" i="48"/>
  <c r="N39" i="46"/>
  <c r="M37" i="46"/>
  <c r="O26" i="45"/>
  <c r="P26" i="45"/>
  <c r="I61" i="45"/>
  <c r="L61" i="45"/>
  <c r="U35" i="47"/>
  <c r="T16" i="47"/>
  <c r="T10" i="47"/>
  <c r="U33" i="47"/>
  <c r="O42" i="45"/>
  <c r="P42" i="45"/>
  <c r="P17" i="45"/>
  <c r="P8" i="45"/>
  <c r="M25" i="56"/>
  <c r="M22" i="56"/>
  <c r="M62" i="56"/>
  <c r="L25" i="56"/>
  <c r="I22" i="56"/>
  <c r="I62" i="56"/>
  <c r="O24" i="56"/>
  <c r="Q24" i="56"/>
  <c r="M27" i="50"/>
  <c r="N27" i="50"/>
  <c r="M43" i="53"/>
  <c r="I43" i="54"/>
  <c r="I62" i="53"/>
  <c r="L43" i="53"/>
  <c r="K43" i="53"/>
  <c r="M62" i="53"/>
  <c r="I8" i="54"/>
  <c r="I62" i="54"/>
  <c r="P36" i="55"/>
  <c r="Q36" i="55"/>
  <c r="K36" i="55"/>
  <c r="N36" i="55"/>
  <c r="O36" i="55"/>
  <c r="R36" i="55"/>
  <c r="K40" i="55"/>
  <c r="N40" i="55"/>
  <c r="R40" i="55"/>
  <c r="P38" i="55"/>
  <c r="L38" i="55"/>
  <c r="L34" i="55"/>
  <c r="L27" i="55"/>
  <c r="K27" i="55"/>
  <c r="M34" i="55"/>
  <c r="M27" i="55"/>
  <c r="N25" i="55"/>
  <c r="R25" i="55"/>
  <c r="R22" i="55"/>
  <c r="P25" i="55"/>
  <c r="K25" i="55"/>
  <c r="L22" i="55"/>
  <c r="K22" i="55"/>
  <c r="P11" i="55"/>
  <c r="Q11" i="55"/>
  <c r="K11" i="55"/>
  <c r="R11" i="55"/>
  <c r="N11" i="55"/>
  <c r="I27" i="55"/>
  <c r="K33" i="55"/>
  <c r="R33" i="55"/>
  <c r="P33" i="55"/>
  <c r="Q33" i="55"/>
  <c r="N33" i="55"/>
  <c r="O33" i="55"/>
  <c r="M38" i="55"/>
  <c r="M49" i="55"/>
  <c r="L49" i="55"/>
  <c r="P31" i="55"/>
  <c r="Q31" i="55"/>
  <c r="N31" i="55"/>
  <c r="K31" i="55"/>
  <c r="R31" i="55"/>
  <c r="N46" i="55"/>
  <c r="K46" i="55"/>
  <c r="P46" i="55"/>
  <c r="R46" i="55"/>
  <c r="N35" i="55"/>
  <c r="O35" i="55"/>
  <c r="P35" i="55"/>
  <c r="Q35" i="55"/>
  <c r="K35" i="55"/>
  <c r="L47" i="55"/>
  <c r="M47" i="55"/>
  <c r="Q20" i="55"/>
  <c r="Q18" i="55"/>
  <c r="P18" i="55"/>
  <c r="N48" i="55"/>
  <c r="O48" i="55"/>
  <c r="P48" i="55"/>
  <c r="Q48" i="55"/>
  <c r="R48" i="55"/>
  <c r="K48" i="55"/>
  <c r="R35" i="55"/>
  <c r="K31" i="54"/>
  <c r="P31" i="54"/>
  <c r="N31" i="54"/>
  <c r="R31" i="54"/>
  <c r="O25" i="53"/>
  <c r="N22" i="53"/>
  <c r="O22" i="53"/>
  <c r="Q11" i="53"/>
  <c r="N49" i="53"/>
  <c r="P49" i="53"/>
  <c r="Q49" i="53"/>
  <c r="K49" i="53"/>
  <c r="M34" i="54"/>
  <c r="M27" i="54"/>
  <c r="L34" i="54"/>
  <c r="R43" i="53"/>
  <c r="K38" i="53"/>
  <c r="R38" i="53"/>
  <c r="N47" i="53"/>
  <c r="O47" i="53"/>
  <c r="K47" i="53"/>
  <c r="R47" i="53"/>
  <c r="R44" i="53"/>
  <c r="P47" i="53"/>
  <c r="Q47" i="53"/>
  <c r="O46" i="53"/>
  <c r="N12" i="53"/>
  <c r="O12" i="53"/>
  <c r="R12" i="53"/>
  <c r="R8" i="53"/>
  <c r="P12" i="53"/>
  <c r="Q12" i="53"/>
  <c r="K12" i="53"/>
  <c r="K40" i="54"/>
  <c r="N40" i="54"/>
  <c r="P40" i="54"/>
  <c r="R40" i="54"/>
  <c r="L38" i="54"/>
  <c r="Q31" i="53"/>
  <c r="L49" i="54"/>
  <c r="M49" i="54"/>
  <c r="O40" i="53"/>
  <c r="N38" i="53"/>
  <c r="O38" i="53"/>
  <c r="P11" i="54"/>
  <c r="K11" i="54"/>
  <c r="N11" i="54"/>
  <c r="R11" i="54"/>
  <c r="O31" i="53"/>
  <c r="Q25" i="53"/>
  <c r="Q22" i="53"/>
  <c r="P22" i="53"/>
  <c r="N34" i="53"/>
  <c r="O34" i="53"/>
  <c r="R34" i="53"/>
  <c r="K34" i="53"/>
  <c r="P34" i="53"/>
  <c r="Q34" i="53"/>
  <c r="N46" i="54"/>
  <c r="R46" i="54"/>
  <c r="K46" i="54"/>
  <c r="P46" i="54"/>
  <c r="R33" i="54"/>
  <c r="N33" i="54"/>
  <c r="O33" i="54"/>
  <c r="P33" i="54"/>
  <c r="Q33" i="54"/>
  <c r="K33" i="54"/>
  <c r="Q40" i="53"/>
  <c r="Q38" i="53"/>
  <c r="P38" i="53"/>
  <c r="L47" i="54"/>
  <c r="M47" i="54"/>
  <c r="Q46" i="53"/>
  <c r="P48" i="54"/>
  <c r="Q48" i="54"/>
  <c r="K48" i="54"/>
  <c r="N48" i="54"/>
  <c r="O48" i="54"/>
  <c r="R48" i="54"/>
  <c r="M12" i="54"/>
  <c r="M8" i="54"/>
  <c r="L12" i="54"/>
  <c r="L22" i="54"/>
  <c r="K22" i="54"/>
  <c r="K25" i="54"/>
  <c r="N25" i="54"/>
  <c r="P25" i="54"/>
  <c r="R25" i="54"/>
  <c r="R22" i="54"/>
  <c r="R35" i="54"/>
  <c r="K35" i="54"/>
  <c r="P35" i="54"/>
  <c r="Q35" i="54"/>
  <c r="N35" i="54"/>
  <c r="O35" i="54"/>
  <c r="P36" i="54"/>
  <c r="Q36" i="54"/>
  <c r="N36" i="54"/>
  <c r="O36" i="54"/>
  <c r="R36" i="54"/>
  <c r="K36" i="54"/>
  <c r="L8" i="53"/>
  <c r="O11" i="53"/>
  <c r="L62" i="50"/>
  <c r="K62" i="50"/>
  <c r="I62" i="51"/>
  <c r="Q40" i="51"/>
  <c r="Q38" i="51"/>
  <c r="L43" i="51"/>
  <c r="K43" i="51"/>
  <c r="O40" i="51"/>
  <c r="N38" i="51"/>
  <c r="O38" i="51"/>
  <c r="P47" i="51"/>
  <c r="Q47" i="51"/>
  <c r="K47" i="51"/>
  <c r="N47" i="51"/>
  <c r="O47" i="51"/>
  <c r="O25" i="51"/>
  <c r="N22" i="51"/>
  <c r="O22" i="51"/>
  <c r="O11" i="51"/>
  <c r="K8" i="51"/>
  <c r="P34" i="51"/>
  <c r="Q34" i="51"/>
  <c r="Q27" i="51"/>
  <c r="N34" i="51"/>
  <c r="O34" i="51"/>
  <c r="R34" i="51"/>
  <c r="K34" i="51"/>
  <c r="O31" i="51"/>
  <c r="O46" i="51"/>
  <c r="R47" i="51"/>
  <c r="R44" i="51"/>
  <c r="P49" i="51"/>
  <c r="Q49" i="51"/>
  <c r="K49" i="51"/>
  <c r="N49" i="51"/>
  <c r="P12" i="51"/>
  <c r="P8" i="51"/>
  <c r="R12" i="51"/>
  <c r="R8" i="51"/>
  <c r="K12" i="51"/>
  <c r="N12" i="51"/>
  <c r="O12" i="51"/>
  <c r="R38" i="51"/>
  <c r="K38" i="51"/>
  <c r="Q25" i="51"/>
  <c r="Q22" i="51"/>
  <c r="M43" i="51"/>
  <c r="T13" i="47"/>
  <c r="U10" i="47"/>
  <c r="N40" i="50"/>
  <c r="M38" i="50"/>
  <c r="N38" i="50"/>
  <c r="N46" i="50"/>
  <c r="M43" i="50"/>
  <c r="N43" i="50"/>
  <c r="N8" i="50"/>
  <c r="N40" i="49"/>
  <c r="M38" i="49"/>
  <c r="N40" i="48"/>
  <c r="M38" i="48"/>
  <c r="N37" i="46"/>
  <c r="M61" i="46"/>
  <c r="N61" i="46"/>
  <c r="K38" i="48"/>
  <c r="L62" i="48"/>
  <c r="O61" i="45"/>
  <c r="P61" i="45"/>
  <c r="R25" i="56"/>
  <c r="R22" i="56"/>
  <c r="R62" i="56"/>
  <c r="N25" i="56"/>
  <c r="P25" i="56"/>
  <c r="K25" i="56"/>
  <c r="L22" i="56"/>
  <c r="R43" i="51"/>
  <c r="L43" i="55"/>
  <c r="N27" i="51"/>
  <c r="O27" i="51"/>
  <c r="P43" i="53"/>
  <c r="P27" i="53"/>
  <c r="N8" i="53"/>
  <c r="Q27" i="53"/>
  <c r="Q62" i="53"/>
  <c r="Q40" i="55"/>
  <c r="Q38" i="55"/>
  <c r="M43" i="55"/>
  <c r="Q46" i="55"/>
  <c r="P49" i="55"/>
  <c r="Q49" i="55"/>
  <c r="N49" i="55"/>
  <c r="K49" i="55"/>
  <c r="O11" i="55"/>
  <c r="O25" i="55"/>
  <c r="N22" i="55"/>
  <c r="O22" i="55"/>
  <c r="K47" i="55"/>
  <c r="R47" i="55"/>
  <c r="N47" i="55"/>
  <c r="O47" i="55"/>
  <c r="P47" i="55"/>
  <c r="Q47" i="55"/>
  <c r="N43" i="53"/>
  <c r="O43" i="53"/>
  <c r="K43" i="55"/>
  <c r="O46" i="55"/>
  <c r="O31" i="55"/>
  <c r="Q25" i="55"/>
  <c r="Q22" i="55"/>
  <c r="P22" i="55"/>
  <c r="N34" i="55"/>
  <c r="O34" i="55"/>
  <c r="R34" i="55"/>
  <c r="P34" i="55"/>
  <c r="Q34" i="55"/>
  <c r="Q27" i="55"/>
  <c r="K34" i="55"/>
  <c r="O40" i="55"/>
  <c r="N38" i="55"/>
  <c r="O38" i="55"/>
  <c r="L12" i="55"/>
  <c r="M12" i="55"/>
  <c r="M8" i="55"/>
  <c r="I8" i="55"/>
  <c r="I62" i="55"/>
  <c r="R44" i="55"/>
  <c r="R38" i="55"/>
  <c r="K38" i="55"/>
  <c r="Q43" i="53"/>
  <c r="R27" i="53"/>
  <c r="R62" i="53"/>
  <c r="O31" i="54"/>
  <c r="K8" i="53"/>
  <c r="L62" i="53"/>
  <c r="K62" i="53"/>
  <c r="Q25" i="54"/>
  <c r="Q22" i="54"/>
  <c r="P22" i="54"/>
  <c r="P12" i="54"/>
  <c r="P8" i="54"/>
  <c r="N12" i="54"/>
  <c r="O12" i="54"/>
  <c r="K12" i="54"/>
  <c r="R12" i="54"/>
  <c r="R8" i="54"/>
  <c r="N27" i="53"/>
  <c r="O27" i="53"/>
  <c r="L8" i="54"/>
  <c r="Q40" i="54"/>
  <c r="Q38" i="54"/>
  <c r="P38" i="54"/>
  <c r="R34" i="54"/>
  <c r="K34" i="54"/>
  <c r="N34" i="54"/>
  <c r="O34" i="54"/>
  <c r="P34" i="54"/>
  <c r="Q34" i="54"/>
  <c r="Q31" i="54"/>
  <c r="O25" i="54"/>
  <c r="N22" i="54"/>
  <c r="O22" i="54"/>
  <c r="P47" i="54"/>
  <c r="Q47" i="54"/>
  <c r="N47" i="54"/>
  <c r="O47" i="54"/>
  <c r="R47" i="54"/>
  <c r="R44" i="54"/>
  <c r="K47" i="54"/>
  <c r="L43" i="54"/>
  <c r="O46" i="54"/>
  <c r="O40" i="54"/>
  <c r="N38" i="54"/>
  <c r="O38" i="54"/>
  <c r="M43" i="54"/>
  <c r="M62" i="54"/>
  <c r="P8" i="53"/>
  <c r="P62" i="53"/>
  <c r="L27" i="54"/>
  <c r="K27" i="54"/>
  <c r="O8" i="53"/>
  <c r="Q11" i="54"/>
  <c r="Q46" i="54"/>
  <c r="O11" i="54"/>
  <c r="P49" i="54"/>
  <c r="Q49" i="54"/>
  <c r="K49" i="54"/>
  <c r="N49" i="54"/>
  <c r="K38" i="54"/>
  <c r="R38" i="54"/>
  <c r="Q8" i="53"/>
  <c r="L62" i="51"/>
  <c r="R27" i="51"/>
  <c r="Q12" i="51"/>
  <c r="Q8" i="51"/>
  <c r="Q43" i="51"/>
  <c r="P27" i="51"/>
  <c r="R62" i="51"/>
  <c r="Q62" i="51"/>
  <c r="P43" i="51"/>
  <c r="N43" i="51"/>
  <c r="O43" i="51"/>
  <c r="N8" i="51"/>
  <c r="M62" i="51"/>
  <c r="M62" i="50"/>
  <c r="N62" i="50"/>
  <c r="N38" i="49"/>
  <c r="M62" i="49"/>
  <c r="N62" i="49"/>
  <c r="K62" i="48"/>
  <c r="N38" i="48"/>
  <c r="M62" i="48"/>
  <c r="N62" i="48"/>
  <c r="E757" i="15"/>
  <c r="G76" i="43"/>
  <c r="T76" i="43"/>
  <c r="U76" i="43"/>
  <c r="T75" i="43"/>
  <c r="S75" i="43"/>
  <c r="R75" i="43"/>
  <c r="Q75" i="43"/>
  <c r="P75" i="43"/>
  <c r="O75" i="43"/>
  <c r="N75" i="43"/>
  <c r="M75" i="43"/>
  <c r="L75" i="43"/>
  <c r="K75" i="43"/>
  <c r="J75" i="43"/>
  <c r="I75" i="43"/>
  <c r="H75" i="43"/>
  <c r="G75" i="43"/>
  <c r="U75" i="43"/>
  <c r="F75" i="43"/>
  <c r="E75" i="43"/>
  <c r="D75" i="43"/>
  <c r="C75" i="43"/>
  <c r="G74" i="43"/>
  <c r="Q74" i="43"/>
  <c r="R74" i="43"/>
  <c r="S74" i="43"/>
  <c r="S64" i="43"/>
  <c r="R64" i="43"/>
  <c r="T74" i="43"/>
  <c r="G73" i="43"/>
  <c r="T73" i="43"/>
  <c r="U73" i="43"/>
  <c r="T72" i="43"/>
  <c r="G72" i="43"/>
  <c r="U72" i="43"/>
  <c r="T71" i="43"/>
  <c r="G71" i="43"/>
  <c r="U71" i="43"/>
  <c r="G70" i="43"/>
  <c r="T70" i="43"/>
  <c r="U70" i="43"/>
  <c r="G69" i="43"/>
  <c r="T69" i="43"/>
  <c r="U69" i="43"/>
  <c r="T68" i="43"/>
  <c r="G68" i="43"/>
  <c r="U68" i="43"/>
  <c r="T67" i="43"/>
  <c r="G67" i="43"/>
  <c r="G65" i="43"/>
  <c r="G66" i="43"/>
  <c r="G64" i="43"/>
  <c r="T66" i="43"/>
  <c r="U66" i="43"/>
  <c r="T65" i="43"/>
  <c r="U65" i="43"/>
  <c r="P64" i="43"/>
  <c r="O64" i="43"/>
  <c r="N64" i="43"/>
  <c r="M64" i="43"/>
  <c r="L64" i="43"/>
  <c r="K64" i="43"/>
  <c r="J64" i="43"/>
  <c r="I64" i="43"/>
  <c r="H64" i="43"/>
  <c r="F64" i="43"/>
  <c r="E64" i="43"/>
  <c r="D64" i="43"/>
  <c r="D59" i="43"/>
  <c r="D42" i="43"/>
  <c r="D37" i="43"/>
  <c r="D32" i="43"/>
  <c r="D23" i="43"/>
  <c r="D77" i="43"/>
  <c r="C64" i="43"/>
  <c r="C59" i="43"/>
  <c r="C42" i="43"/>
  <c r="C37" i="43"/>
  <c r="C32" i="43"/>
  <c r="C23" i="43"/>
  <c r="C77" i="43"/>
  <c r="T63" i="43"/>
  <c r="G63" i="43"/>
  <c r="U63" i="43"/>
  <c r="G62" i="43"/>
  <c r="T62" i="43"/>
  <c r="U62" i="43"/>
  <c r="G61" i="43"/>
  <c r="T61" i="43"/>
  <c r="U61" i="43"/>
  <c r="T60" i="43"/>
  <c r="T59" i="43"/>
  <c r="G60" i="43"/>
  <c r="U60" i="43"/>
  <c r="S59" i="43"/>
  <c r="R59" i="43"/>
  <c r="Q59" i="43"/>
  <c r="P59" i="43"/>
  <c r="O59" i="43"/>
  <c r="N59" i="43"/>
  <c r="M59" i="43"/>
  <c r="L59" i="43"/>
  <c r="K59" i="43"/>
  <c r="J59" i="43"/>
  <c r="I59" i="43"/>
  <c r="H59" i="43"/>
  <c r="G59" i="43"/>
  <c r="U59" i="43"/>
  <c r="F59" i="43"/>
  <c r="E59" i="43"/>
  <c r="E42" i="43"/>
  <c r="E37" i="43"/>
  <c r="E32" i="43"/>
  <c r="E23" i="43"/>
  <c r="E77" i="43"/>
  <c r="G58" i="43"/>
  <c r="T58" i="43"/>
  <c r="U58" i="43"/>
  <c r="G57" i="43"/>
  <c r="T57" i="43"/>
  <c r="U57" i="43"/>
  <c r="T56" i="43"/>
  <c r="G56" i="43"/>
  <c r="U56" i="43"/>
  <c r="T55" i="43"/>
  <c r="G55" i="43"/>
  <c r="U55" i="43"/>
  <c r="G54" i="43"/>
  <c r="T54" i="43"/>
  <c r="U54" i="43"/>
  <c r="G53" i="43"/>
  <c r="T53" i="43"/>
  <c r="U53" i="43"/>
  <c r="T52" i="43"/>
  <c r="G52" i="43"/>
  <c r="U52" i="43"/>
  <c r="T51" i="43"/>
  <c r="G51" i="43"/>
  <c r="U51" i="43"/>
  <c r="G50" i="43"/>
  <c r="T50" i="43"/>
  <c r="U50" i="43"/>
  <c r="G49" i="43"/>
  <c r="T49" i="43"/>
  <c r="U49" i="43"/>
  <c r="T48" i="43"/>
  <c r="G48" i="43"/>
  <c r="U48" i="43"/>
  <c r="T47" i="43"/>
  <c r="G47" i="43"/>
  <c r="U47" i="43"/>
  <c r="G46" i="43"/>
  <c r="T46" i="43"/>
  <c r="U46" i="43"/>
  <c r="G45" i="43"/>
  <c r="T45" i="43"/>
  <c r="U45" i="43"/>
  <c r="T44" i="43"/>
  <c r="T43" i="43"/>
  <c r="T42" i="43"/>
  <c r="G44" i="43"/>
  <c r="U44" i="43"/>
  <c r="G43" i="43"/>
  <c r="U43" i="43"/>
  <c r="S42" i="43"/>
  <c r="R42" i="43"/>
  <c r="Q42" i="43"/>
  <c r="P42" i="43"/>
  <c r="O42" i="43"/>
  <c r="N42" i="43"/>
  <c r="M42" i="43"/>
  <c r="L42" i="43"/>
  <c r="K42" i="43"/>
  <c r="J42" i="43"/>
  <c r="I42" i="43"/>
  <c r="H42" i="43"/>
  <c r="F42" i="43"/>
  <c r="F37" i="43"/>
  <c r="F32" i="43"/>
  <c r="F23" i="43"/>
  <c r="F77" i="43"/>
  <c r="G41" i="43"/>
  <c r="Q41" i="43"/>
  <c r="Q37" i="43"/>
  <c r="Q36" i="43"/>
  <c r="P41" i="43"/>
  <c r="P37" i="43"/>
  <c r="P36" i="43"/>
  <c r="O41" i="43"/>
  <c r="O37" i="43"/>
  <c r="O36" i="43"/>
  <c r="M41" i="43"/>
  <c r="M37" i="43"/>
  <c r="M36" i="43"/>
  <c r="L41" i="43"/>
  <c r="H41" i="43"/>
  <c r="R41" i="43"/>
  <c r="R37" i="43"/>
  <c r="R36" i="43"/>
  <c r="G40" i="43"/>
  <c r="T40" i="43"/>
  <c r="U40" i="43"/>
  <c r="T39" i="43"/>
  <c r="G39" i="43"/>
  <c r="U39" i="43"/>
  <c r="T38" i="43"/>
  <c r="G38" i="43"/>
  <c r="U38" i="43"/>
  <c r="K37" i="43"/>
  <c r="J37" i="43"/>
  <c r="J36" i="43"/>
  <c r="I37" i="43"/>
  <c r="H37" i="43"/>
  <c r="F36" i="43"/>
  <c r="K36" i="43"/>
  <c r="I36" i="43"/>
  <c r="H36" i="43"/>
  <c r="E36" i="43"/>
  <c r="D36" i="43"/>
  <c r="C36" i="43"/>
  <c r="G35" i="43"/>
  <c r="H35" i="43"/>
  <c r="G34" i="43"/>
  <c r="G33" i="43"/>
  <c r="T33" i="43"/>
  <c r="U33" i="43"/>
  <c r="T31" i="43"/>
  <c r="G31" i="43"/>
  <c r="U31" i="43"/>
  <c r="T30" i="43"/>
  <c r="G30" i="43"/>
  <c r="U30" i="43"/>
  <c r="G29" i="43"/>
  <c r="T29" i="43"/>
  <c r="U29" i="43"/>
  <c r="G28" i="43"/>
  <c r="T28" i="43"/>
  <c r="U28" i="43"/>
  <c r="T27" i="43"/>
  <c r="G27" i="43"/>
  <c r="U27" i="43"/>
  <c r="T26" i="43"/>
  <c r="G26" i="43"/>
  <c r="G24" i="43"/>
  <c r="G25" i="43"/>
  <c r="G23" i="43"/>
  <c r="T24" i="43"/>
  <c r="T25" i="43"/>
  <c r="T23" i="43"/>
  <c r="U23" i="43"/>
  <c r="U25" i="43"/>
  <c r="U24" i="43"/>
  <c r="S23" i="43"/>
  <c r="R23" i="43"/>
  <c r="Q23" i="43"/>
  <c r="P23" i="43"/>
  <c r="O23" i="43"/>
  <c r="N23" i="43"/>
  <c r="M23" i="43"/>
  <c r="L23" i="43"/>
  <c r="K23" i="43"/>
  <c r="J23" i="43"/>
  <c r="I23" i="43"/>
  <c r="H23" i="43"/>
  <c r="E16" i="43"/>
  <c r="C13" i="43"/>
  <c r="C16" i="43"/>
  <c r="G12" i="43"/>
  <c r="H12" i="43"/>
  <c r="I12" i="43"/>
  <c r="G11" i="43"/>
  <c r="G10" i="43"/>
  <c r="G9" i="43"/>
  <c r="G8" i="43"/>
  <c r="G13" i="43"/>
  <c r="G16" i="43"/>
  <c r="H10" i="43"/>
  <c r="I10" i="43"/>
  <c r="T8" i="43"/>
  <c r="U8" i="43"/>
  <c r="G24" i="13"/>
  <c r="T24" i="13"/>
  <c r="U24" i="13"/>
  <c r="G25" i="13"/>
  <c r="T25" i="13"/>
  <c r="U25" i="13"/>
  <c r="G26" i="13"/>
  <c r="T26" i="13"/>
  <c r="U26" i="13"/>
  <c r="G27" i="13"/>
  <c r="T27" i="13"/>
  <c r="U27" i="13"/>
  <c r="G28" i="13"/>
  <c r="T28" i="13"/>
  <c r="U28" i="13"/>
  <c r="G29" i="13"/>
  <c r="T29" i="13"/>
  <c r="U29" i="13"/>
  <c r="G30" i="13"/>
  <c r="T30" i="13"/>
  <c r="U30" i="13"/>
  <c r="G31" i="13"/>
  <c r="T31" i="13"/>
  <c r="U31" i="13"/>
  <c r="G33" i="13"/>
  <c r="G34" i="13"/>
  <c r="G35" i="13"/>
  <c r="G32" i="13"/>
  <c r="T33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T32" i="13"/>
  <c r="U32" i="13"/>
  <c r="U33" i="13"/>
  <c r="U34" i="13"/>
  <c r="U35" i="13"/>
  <c r="G38" i="13"/>
  <c r="G39" i="13"/>
  <c r="G40" i="13"/>
  <c r="G41" i="13"/>
  <c r="G37" i="13"/>
  <c r="T38" i="13"/>
  <c r="T39" i="13"/>
  <c r="T40" i="13"/>
  <c r="H41" i="13"/>
  <c r="L41" i="13"/>
  <c r="M41" i="13"/>
  <c r="N41" i="13"/>
  <c r="O41" i="13"/>
  <c r="P41" i="13"/>
  <c r="Q41" i="13"/>
  <c r="R41" i="13"/>
  <c r="S41" i="13"/>
  <c r="T41" i="13"/>
  <c r="T37" i="13"/>
  <c r="U37" i="13"/>
  <c r="U38" i="13"/>
  <c r="U39" i="13"/>
  <c r="U40" i="13"/>
  <c r="U41" i="13"/>
  <c r="G43" i="13"/>
  <c r="T43" i="13"/>
  <c r="U43" i="13"/>
  <c r="G44" i="13"/>
  <c r="T44" i="13"/>
  <c r="U44" i="13"/>
  <c r="G45" i="13"/>
  <c r="T45" i="13"/>
  <c r="U45" i="13"/>
  <c r="G46" i="13"/>
  <c r="T46" i="13"/>
  <c r="U46" i="13"/>
  <c r="G47" i="13"/>
  <c r="T47" i="13"/>
  <c r="U47" i="13"/>
  <c r="G48" i="13"/>
  <c r="T48" i="13"/>
  <c r="U48" i="13"/>
  <c r="G49" i="13"/>
  <c r="T49" i="13"/>
  <c r="U49" i="13"/>
  <c r="G50" i="13"/>
  <c r="T50" i="13"/>
  <c r="U50" i="13"/>
  <c r="G51" i="13"/>
  <c r="T51" i="13"/>
  <c r="U51" i="13"/>
  <c r="G52" i="13"/>
  <c r="T52" i="13"/>
  <c r="U52" i="13"/>
  <c r="G54" i="13"/>
  <c r="T54" i="13"/>
  <c r="U54" i="13"/>
  <c r="G55" i="13"/>
  <c r="T55" i="13"/>
  <c r="U55" i="13"/>
  <c r="G56" i="13"/>
  <c r="T56" i="13"/>
  <c r="U56" i="13"/>
  <c r="G57" i="13"/>
  <c r="T57" i="13"/>
  <c r="U57" i="13"/>
  <c r="G58" i="13"/>
  <c r="T58" i="13"/>
  <c r="U58" i="13"/>
  <c r="G60" i="13"/>
  <c r="G61" i="13"/>
  <c r="G62" i="13"/>
  <c r="G63" i="13"/>
  <c r="G59" i="13"/>
  <c r="T60" i="13"/>
  <c r="T61" i="13"/>
  <c r="T62" i="13"/>
  <c r="T63" i="13"/>
  <c r="T59" i="13"/>
  <c r="U59" i="13"/>
  <c r="U60" i="13"/>
  <c r="U61" i="13"/>
  <c r="U62" i="13"/>
  <c r="U63" i="13"/>
  <c r="G65" i="13"/>
  <c r="G66" i="13"/>
  <c r="G67" i="13"/>
  <c r="G68" i="13"/>
  <c r="G69" i="13"/>
  <c r="G70" i="13"/>
  <c r="G71" i="13"/>
  <c r="G72" i="13"/>
  <c r="G73" i="13"/>
  <c r="G74" i="13"/>
  <c r="G64" i="13"/>
  <c r="T65" i="13"/>
  <c r="T66" i="13"/>
  <c r="T67" i="13"/>
  <c r="T68" i="13"/>
  <c r="T69" i="13"/>
  <c r="T70" i="13"/>
  <c r="T71" i="13"/>
  <c r="T72" i="13"/>
  <c r="T73" i="13"/>
  <c r="Q74" i="13"/>
  <c r="R74" i="13"/>
  <c r="S74" i="13"/>
  <c r="T74" i="13"/>
  <c r="T64" i="13"/>
  <c r="U64" i="13"/>
  <c r="U65" i="13"/>
  <c r="U66" i="13"/>
  <c r="U67" i="13"/>
  <c r="U68" i="13"/>
  <c r="U69" i="13"/>
  <c r="U70" i="13"/>
  <c r="U71" i="13"/>
  <c r="U72" i="13"/>
  <c r="U73" i="13"/>
  <c r="U74" i="13"/>
  <c r="G76" i="13"/>
  <c r="G75" i="13"/>
  <c r="T76" i="13"/>
  <c r="T75" i="13"/>
  <c r="U75" i="13"/>
  <c r="U76" i="13"/>
  <c r="G23" i="13"/>
  <c r="T23" i="13"/>
  <c r="U23" i="13"/>
  <c r="R43" i="55"/>
  <c r="M62" i="55"/>
  <c r="Q25" i="56"/>
  <c r="Q22" i="56"/>
  <c r="Q62" i="56"/>
  <c r="P22" i="56"/>
  <c r="P62" i="56"/>
  <c r="O25" i="56"/>
  <c r="N22" i="56"/>
  <c r="L62" i="56"/>
  <c r="K62" i="56"/>
  <c r="K22" i="56"/>
  <c r="N8" i="54"/>
  <c r="N62" i="53"/>
  <c r="O62" i="53"/>
  <c r="N43" i="54"/>
  <c r="O43" i="54"/>
  <c r="P27" i="55"/>
  <c r="N43" i="55"/>
  <c r="O43" i="55"/>
  <c r="Q12" i="54"/>
  <c r="Q8" i="54"/>
  <c r="P43" i="55"/>
  <c r="Q62" i="55"/>
  <c r="R27" i="55"/>
  <c r="R62" i="55"/>
  <c r="Q43" i="55"/>
  <c r="K12" i="55"/>
  <c r="R12" i="55"/>
  <c r="R8" i="55"/>
  <c r="N12" i="55"/>
  <c r="P12" i="55"/>
  <c r="L8" i="55"/>
  <c r="N27" i="55"/>
  <c r="O27" i="55"/>
  <c r="P43" i="54"/>
  <c r="Q27" i="54"/>
  <c r="Q62" i="54"/>
  <c r="K8" i="54"/>
  <c r="L62" i="54"/>
  <c r="K62" i="54"/>
  <c r="N27" i="54"/>
  <c r="O27" i="54"/>
  <c r="Q43" i="54"/>
  <c r="O8" i="54"/>
  <c r="K43" i="54"/>
  <c r="R43" i="54"/>
  <c r="R27" i="54"/>
  <c r="R62" i="54"/>
  <c r="P27" i="54"/>
  <c r="K62" i="51"/>
  <c r="P62" i="51"/>
  <c r="O8" i="51"/>
  <c r="N62" i="51"/>
  <c r="O62" i="51"/>
  <c r="U74" i="43"/>
  <c r="T64" i="43"/>
  <c r="N41" i="43"/>
  <c r="S41" i="43"/>
  <c r="S37" i="43"/>
  <c r="S36" i="43"/>
  <c r="U64" i="43"/>
  <c r="H9" i="43"/>
  <c r="I9" i="43"/>
  <c r="H11" i="43"/>
  <c r="I11" i="43"/>
  <c r="J10" i="43"/>
  <c r="J12" i="43"/>
  <c r="H34" i="43"/>
  <c r="I34" i="43"/>
  <c r="J34" i="43"/>
  <c r="I35" i="43"/>
  <c r="J35" i="43"/>
  <c r="K35" i="43"/>
  <c r="G37" i="43"/>
  <c r="N37" i="43"/>
  <c r="N36" i="43"/>
  <c r="G42" i="43"/>
  <c r="U42" i="43"/>
  <c r="Q64" i="43"/>
  <c r="U26" i="43"/>
  <c r="G32" i="43"/>
  <c r="K34" i="43"/>
  <c r="L37" i="43"/>
  <c r="L36" i="43"/>
  <c r="U67" i="43"/>
  <c r="O22" i="56"/>
  <c r="N62" i="56"/>
  <c r="O62" i="56"/>
  <c r="N62" i="54"/>
  <c r="O62" i="54"/>
  <c r="L62" i="55"/>
  <c r="K62" i="55"/>
  <c r="K8" i="55"/>
  <c r="Q12" i="55"/>
  <c r="Q8" i="55"/>
  <c r="P8" i="55"/>
  <c r="P62" i="55"/>
  <c r="O12" i="55"/>
  <c r="N8" i="55"/>
  <c r="P62" i="54"/>
  <c r="K32" i="43"/>
  <c r="K77" i="43"/>
  <c r="J32" i="43"/>
  <c r="J77" i="43"/>
  <c r="G36" i="43"/>
  <c r="L35" i="43"/>
  <c r="M35" i="43"/>
  <c r="N35" i="43"/>
  <c r="I16" i="43"/>
  <c r="I13" i="43"/>
  <c r="J11" i="43"/>
  <c r="H16" i="43"/>
  <c r="H13" i="43"/>
  <c r="G77" i="43"/>
  <c r="I32" i="43"/>
  <c r="I77" i="43"/>
  <c r="T41" i="43"/>
  <c r="K12" i="43"/>
  <c r="K10" i="43"/>
  <c r="H32" i="43"/>
  <c r="H77" i="43"/>
  <c r="L34" i="43"/>
  <c r="J9" i="43"/>
  <c r="K9" i="43"/>
  <c r="N62" i="55"/>
  <c r="O62" i="55"/>
  <c r="O8" i="55"/>
  <c r="O35" i="43"/>
  <c r="L10" i="43"/>
  <c r="M10" i="43"/>
  <c r="J13" i="43"/>
  <c r="J16" i="43"/>
  <c r="L9" i="43"/>
  <c r="L12" i="43"/>
  <c r="M12" i="43"/>
  <c r="P35" i="43"/>
  <c r="L32" i="43"/>
  <c r="L77" i="43"/>
  <c r="U41" i="43"/>
  <c r="T37" i="43"/>
  <c r="M34" i="43"/>
  <c r="K11" i="43"/>
  <c r="L11" i="43"/>
  <c r="N34" i="43"/>
  <c r="O34" i="43"/>
  <c r="O32" i="43"/>
  <c r="O77" i="43"/>
  <c r="M11" i="43"/>
  <c r="N11" i="43"/>
  <c r="L13" i="43"/>
  <c r="L16" i="43"/>
  <c r="N10" i="43"/>
  <c r="M9" i="43"/>
  <c r="N9" i="43"/>
  <c r="N32" i="43"/>
  <c r="N77" i="43"/>
  <c r="T36" i="43"/>
  <c r="U36" i="43"/>
  <c r="U37" i="43"/>
  <c r="K13" i="43"/>
  <c r="K16" i="43"/>
  <c r="N12" i="43"/>
  <c r="Q35" i="43"/>
  <c r="R35" i="43"/>
  <c r="S35" i="43"/>
  <c r="T35" i="43"/>
  <c r="U35" i="43"/>
  <c r="O12" i="43"/>
  <c r="O10" i="43"/>
  <c r="M32" i="43"/>
  <c r="M77" i="43"/>
  <c r="P34" i="43"/>
  <c r="P32" i="43"/>
  <c r="P77" i="43"/>
  <c r="O11" i="43"/>
  <c r="P10" i="43"/>
  <c r="P12" i="43"/>
  <c r="Q12" i="43"/>
  <c r="N13" i="43"/>
  <c r="N16" i="43"/>
  <c r="M13" i="43"/>
  <c r="M16" i="43"/>
  <c r="O9" i="43"/>
  <c r="Q34" i="43"/>
  <c r="Q32" i="43"/>
  <c r="Q77" i="43"/>
  <c r="O13" i="43"/>
  <c r="O16" i="43"/>
  <c r="R34" i="43"/>
  <c r="R32" i="43"/>
  <c r="R77" i="43"/>
  <c r="P11" i="43"/>
  <c r="Q10" i="43"/>
  <c r="R12" i="43"/>
  <c r="P9" i="43"/>
  <c r="P13" i="43"/>
  <c r="P16" i="43"/>
  <c r="Q11" i="43"/>
  <c r="Q9" i="43"/>
  <c r="R9" i="43"/>
  <c r="S34" i="43"/>
  <c r="S32" i="43"/>
  <c r="S77" i="43"/>
  <c r="S12" i="43"/>
  <c r="T12" i="43"/>
  <c r="R10" i="43"/>
  <c r="S10" i="43"/>
  <c r="T10" i="43"/>
  <c r="R11" i="43"/>
  <c r="S11" i="43"/>
  <c r="T11" i="43"/>
  <c r="R13" i="43"/>
  <c r="R16" i="43"/>
  <c r="Q13" i="43"/>
  <c r="Q16" i="43"/>
  <c r="S9" i="43"/>
  <c r="S13" i="43"/>
  <c r="S16" i="43"/>
  <c r="T34" i="43"/>
  <c r="T16" i="43"/>
  <c r="T32" i="43"/>
  <c r="U34" i="43"/>
  <c r="T9" i="43"/>
  <c r="T13" i="43"/>
  <c r="U32" i="43"/>
  <c r="T77" i="43"/>
  <c r="U77" i="43"/>
  <c r="J730" i="15"/>
  <c r="G129" i="15"/>
  <c r="F129" i="15"/>
  <c r="G108" i="15"/>
  <c r="J614" i="15"/>
  <c r="J586" i="15"/>
  <c r="J571" i="15"/>
  <c r="J453" i="15"/>
  <c r="J416" i="15"/>
  <c r="J401" i="15"/>
  <c r="J198" i="15"/>
  <c r="J159" i="15"/>
  <c r="J150" i="15"/>
  <c r="J69" i="15"/>
  <c r="J34" i="15"/>
  <c r="J248" i="15"/>
  <c r="J50" i="15"/>
  <c r="J647" i="15"/>
  <c r="J108" i="15"/>
  <c r="J631" i="15"/>
  <c r="J226" i="15"/>
  <c r="J535" i="15"/>
  <c r="G535" i="15"/>
  <c r="F535" i="15"/>
  <c r="I535" i="15"/>
  <c r="K535" i="15"/>
  <c r="J129" i="15"/>
  <c r="J3" i="15"/>
  <c r="F561" i="15"/>
  <c r="J543" i="15"/>
  <c r="G543" i="15"/>
  <c r="F543" i="15"/>
  <c r="E730" i="15"/>
  <c r="E710" i="15"/>
  <c r="E695" i="15"/>
  <c r="E679" i="15"/>
  <c r="E663" i="15"/>
  <c r="E647" i="15"/>
  <c r="E631" i="15"/>
  <c r="E614" i="15"/>
  <c r="E603" i="15"/>
  <c r="E586" i="15"/>
  <c r="E571" i="15"/>
  <c r="E561" i="15"/>
  <c r="E543" i="15"/>
  <c r="E539" i="15"/>
  <c r="E507" i="15"/>
  <c r="E498" i="15"/>
  <c r="E483" i="15"/>
  <c r="E453" i="15"/>
  <c r="E416" i="15"/>
  <c r="E401" i="15"/>
  <c r="E381" i="15"/>
  <c r="E248" i="15"/>
  <c r="E226" i="15"/>
  <c r="E215" i="15"/>
  <c r="E198" i="15"/>
  <c r="E187" i="15"/>
  <c r="E150" i="15"/>
  <c r="E129" i="15"/>
  <c r="E108" i="15"/>
  <c r="E85" i="15"/>
  <c r="E69" i="15"/>
  <c r="E50" i="15"/>
  <c r="E34" i="15"/>
  <c r="E4" i="15"/>
  <c r="E3" i="15"/>
  <c r="E613" i="15"/>
  <c r="I543" i="15"/>
  <c r="K543" i="15"/>
  <c r="E225" i="15"/>
  <c r="S42" i="13"/>
  <c r="R42" i="13"/>
  <c r="Q42" i="13"/>
  <c r="J42" i="13"/>
  <c r="I42" i="13"/>
  <c r="C42" i="13"/>
  <c r="M42" i="13"/>
  <c r="N42" i="13"/>
  <c r="C9" i="29"/>
  <c r="H75" i="13"/>
  <c r="F59" i="13"/>
  <c r="O42" i="13"/>
  <c r="P42" i="13"/>
  <c r="L42" i="13"/>
  <c r="K42" i="13"/>
  <c r="E42" i="13"/>
  <c r="H42" i="13"/>
  <c r="F42" i="13"/>
  <c r="J561" i="15"/>
  <c r="G730" i="15"/>
  <c r="J695" i="15"/>
  <c r="G695" i="15"/>
  <c r="J663" i="15"/>
  <c r="G647" i="15"/>
  <c r="J710" i="15"/>
  <c r="J679" i="15"/>
  <c r="J603" i="15"/>
  <c r="J517" i="15"/>
  <c r="J498" i="15"/>
  <c r="J483" i="15"/>
  <c r="J381" i="15"/>
  <c r="J215" i="15"/>
  <c r="J187" i="15"/>
  <c r="J539" i="15"/>
  <c r="F159" i="15"/>
  <c r="G539" i="15"/>
  <c r="G757" i="15"/>
  <c r="F757" i="15"/>
  <c r="F747" i="15"/>
  <c r="G747" i="15"/>
  <c r="F730" i="15"/>
  <c r="G710" i="15"/>
  <c r="F710" i="15"/>
  <c r="F695" i="15"/>
  <c r="G679" i="15"/>
  <c r="F679" i="15"/>
  <c r="G663" i="15"/>
  <c r="F663" i="15"/>
  <c r="F647" i="15"/>
  <c r="G631" i="15"/>
  <c r="F631" i="15"/>
  <c r="G614" i="15"/>
  <c r="F614" i="15"/>
  <c r="G613" i="15"/>
  <c r="J756" i="15"/>
  <c r="J747" i="15"/>
  <c r="G603" i="15"/>
  <c r="F603" i="15"/>
  <c r="G586" i="15"/>
  <c r="F586" i="15"/>
  <c r="G571" i="15"/>
  <c r="F571" i="15"/>
  <c r="G561" i="15"/>
  <c r="G159" i="15"/>
  <c r="J530" i="15"/>
  <c r="G530" i="15"/>
  <c r="F530" i="15"/>
  <c r="J524" i="15"/>
  <c r="G524" i="15"/>
  <c r="F524" i="15"/>
  <c r="G517" i="15"/>
  <c r="F517" i="15"/>
  <c r="J507" i="15"/>
  <c r="G507" i="15"/>
  <c r="F507" i="15"/>
  <c r="G498" i="15"/>
  <c r="F498" i="15"/>
  <c r="G483" i="15"/>
  <c r="G453" i="15"/>
  <c r="F483" i="15"/>
  <c r="F453" i="15"/>
  <c r="J613" i="15"/>
  <c r="F613" i="15"/>
  <c r="E560" i="15"/>
  <c r="J560" i="15"/>
  <c r="F560" i="15"/>
  <c r="G560" i="15"/>
  <c r="G416" i="15"/>
  <c r="F416" i="15"/>
  <c r="F401" i="15"/>
  <c r="G401" i="15"/>
  <c r="F381" i="15"/>
  <c r="G381" i="15"/>
  <c r="G248" i="15"/>
  <c r="F248" i="15"/>
  <c r="G226" i="15"/>
  <c r="F226" i="15"/>
  <c r="E186" i="15"/>
  <c r="E185" i="15"/>
  <c r="G215" i="15"/>
  <c r="F215" i="15"/>
  <c r="G198" i="15"/>
  <c r="F198" i="15"/>
  <c r="G187" i="15"/>
  <c r="J158" i="15"/>
  <c r="G158" i="15"/>
  <c r="F158" i="15"/>
  <c r="F187" i="15"/>
  <c r="G225" i="15"/>
  <c r="J225" i="15"/>
  <c r="G186" i="15"/>
  <c r="J186" i="15"/>
  <c r="F539" i="15"/>
  <c r="F225" i="15"/>
  <c r="I198" i="15"/>
  <c r="K198" i="15"/>
  <c r="L198" i="15"/>
  <c r="F186" i="15"/>
  <c r="G150" i="15"/>
  <c r="F150" i="15"/>
  <c r="F108" i="15"/>
  <c r="G85" i="15"/>
  <c r="F85" i="15"/>
  <c r="G69" i="15"/>
  <c r="F69" i="15"/>
  <c r="G50" i="15"/>
  <c r="F50" i="15"/>
  <c r="G34" i="15"/>
  <c r="F34" i="15"/>
  <c r="G4" i="15"/>
  <c r="F4" i="15"/>
  <c r="I757" i="15"/>
  <c r="G756" i="15"/>
  <c r="F756" i="15"/>
  <c r="E756" i="15"/>
  <c r="E771" i="15"/>
  <c r="I747" i="15"/>
  <c r="K747" i="15"/>
  <c r="I730" i="15"/>
  <c r="K730" i="15"/>
  <c r="I710" i="15"/>
  <c r="K710" i="15"/>
  <c r="I695" i="15"/>
  <c r="K695" i="15"/>
  <c r="I679" i="15"/>
  <c r="K679" i="15"/>
  <c r="I663" i="15"/>
  <c r="K663" i="15"/>
  <c r="I647" i="15"/>
  <c r="K647" i="15"/>
  <c r="I631" i="15"/>
  <c r="K631" i="15"/>
  <c r="I627" i="15"/>
  <c r="I614" i="15"/>
  <c r="K614" i="15"/>
  <c r="I603" i="15"/>
  <c r="K603" i="15"/>
  <c r="I586" i="15"/>
  <c r="K586" i="15"/>
  <c r="I571" i="15"/>
  <c r="K571" i="15"/>
  <c r="I561" i="15"/>
  <c r="K561" i="15"/>
  <c r="I530" i="15"/>
  <c r="K530" i="15"/>
  <c r="I524" i="15"/>
  <c r="K524" i="15"/>
  <c r="I517" i="15"/>
  <c r="K517" i="15"/>
  <c r="I507" i="15"/>
  <c r="K507" i="15"/>
  <c r="I498" i="15"/>
  <c r="K498" i="15"/>
  <c r="I494" i="15"/>
  <c r="I483" i="15"/>
  <c r="I453" i="15"/>
  <c r="K453" i="15"/>
  <c r="L453" i="15"/>
  <c r="I381" i="15"/>
  <c r="K381" i="15"/>
  <c r="L381" i="15"/>
  <c r="I248" i="15"/>
  <c r="I226" i="15"/>
  <c r="I224" i="15"/>
  <c r="I215" i="15"/>
  <c r="I187" i="15"/>
  <c r="I184" i="15"/>
  <c r="I175" i="15"/>
  <c r="K175" i="15"/>
  <c r="I32" i="15"/>
  <c r="G3" i="15"/>
  <c r="F3" i="15"/>
  <c r="J771" i="15"/>
  <c r="I85" i="15"/>
  <c r="K85" i="15"/>
  <c r="L85" i="15"/>
  <c r="F185" i="15"/>
  <c r="G185" i="15"/>
  <c r="J185" i="15"/>
  <c r="H185" i="15"/>
  <c r="K483" i="15"/>
  <c r="K226" i="15"/>
  <c r="L226" i="15"/>
  <c r="I539" i="15"/>
  <c r="K539" i="15"/>
  <c r="I50" i="15"/>
  <c r="K50" i="15"/>
  <c r="L50" i="15"/>
  <c r="I186" i="15"/>
  <c r="K187" i="15"/>
  <c r="K248" i="15"/>
  <c r="I756" i="15"/>
  <c r="K756" i="15"/>
  <c r="K757" i="15"/>
  <c r="I560" i="15"/>
  <c r="K560" i="15"/>
  <c r="I613" i="15"/>
  <c r="K613" i="15"/>
  <c r="I34" i="15"/>
  <c r="K34" i="15"/>
  <c r="L34" i="15"/>
  <c r="I108" i="15"/>
  <c r="K108" i="15"/>
  <c r="L108" i="15"/>
  <c r="I150" i="15"/>
  <c r="K150" i="15"/>
  <c r="L150" i="15"/>
  <c r="I401" i="15"/>
  <c r="K401" i="15"/>
  <c r="L401" i="15"/>
  <c r="G771" i="15"/>
  <c r="I4" i="15"/>
  <c r="K4" i="15"/>
  <c r="K215" i="15"/>
  <c r="I129" i="15"/>
  <c r="K129" i="15"/>
  <c r="L129" i="15"/>
  <c r="I69" i="15"/>
  <c r="K69" i="15"/>
  <c r="I159" i="15"/>
  <c r="I416" i="15"/>
  <c r="K416" i="15"/>
  <c r="L416" i="15"/>
  <c r="C75" i="13"/>
  <c r="M315" i="15"/>
  <c r="M281" i="15"/>
  <c r="I3" i="15"/>
  <c r="K3" i="15"/>
  <c r="L362" i="15"/>
  <c r="I225" i="15"/>
  <c r="I185" i="15"/>
  <c r="L483" i="15"/>
  <c r="K225" i="15"/>
  <c r="G773" i="15"/>
  <c r="L4" i="15"/>
  <c r="F771" i="15"/>
  <c r="K186" i="15"/>
  <c r="I158" i="15"/>
  <c r="K159" i="15"/>
  <c r="K158" i="15"/>
  <c r="K185" i="15"/>
  <c r="I771" i="15"/>
  <c r="K771" i="15"/>
  <c r="L159" i="15"/>
  <c r="T53" i="13"/>
  <c r="K37" i="13"/>
  <c r="G53" i="13"/>
  <c r="T42" i="13"/>
  <c r="U53" i="13"/>
  <c r="I59" i="13"/>
  <c r="J37" i="13"/>
  <c r="J59" i="13"/>
  <c r="M59" i="13"/>
  <c r="C37" i="13"/>
  <c r="C59" i="13"/>
  <c r="C64" i="13"/>
  <c r="T36" i="13"/>
  <c r="G42" i="13"/>
  <c r="G36" i="13"/>
  <c r="U36" i="13"/>
  <c r="U42" i="13"/>
  <c r="K59" i="13"/>
  <c r="N59" i="13"/>
  <c r="Q59" i="13"/>
  <c r="S59" i="13"/>
  <c r="P59" i="13"/>
  <c r="R59" i="13"/>
  <c r="H59" i="13"/>
  <c r="O59" i="13"/>
  <c r="L59" i="13"/>
  <c r="N75" i="13"/>
  <c r="O75" i="13"/>
  <c r="P75" i="13"/>
  <c r="Q75" i="13"/>
  <c r="R75" i="13"/>
  <c r="S75" i="13"/>
  <c r="M75" i="13"/>
  <c r="G77" i="13"/>
  <c r="I75" i="13"/>
  <c r="J75" i="13"/>
  <c r="K75" i="13"/>
  <c r="L75" i="13"/>
  <c r="E75" i="13"/>
  <c r="F75" i="13"/>
  <c r="D75" i="13"/>
  <c r="F64" i="13"/>
  <c r="E64" i="13"/>
  <c r="D64" i="13"/>
  <c r="E59" i="13"/>
  <c r="D59" i="13"/>
  <c r="D42" i="13"/>
  <c r="L37" i="13"/>
  <c r="F37" i="13"/>
  <c r="F36" i="13"/>
  <c r="E37" i="13"/>
  <c r="E36" i="13"/>
  <c r="D37" i="13"/>
  <c r="F32" i="13"/>
  <c r="E32" i="13"/>
  <c r="D32" i="13"/>
  <c r="C32" i="13"/>
  <c r="E23" i="13"/>
  <c r="D23" i="13"/>
  <c r="C23" i="13"/>
  <c r="E16" i="13"/>
  <c r="C13" i="13"/>
  <c r="C16" i="13"/>
  <c r="G12" i="13"/>
  <c r="G11" i="13"/>
  <c r="G10" i="13"/>
  <c r="G9" i="13"/>
  <c r="G8" i="13"/>
  <c r="E77" i="13"/>
  <c r="H11" i="13"/>
  <c r="I11" i="13"/>
  <c r="H9" i="13"/>
  <c r="I9" i="13"/>
  <c r="H10" i="13"/>
  <c r="I10" i="13"/>
  <c r="H12" i="13"/>
  <c r="I12" i="13"/>
  <c r="C77" i="13"/>
  <c r="C36" i="13"/>
  <c r="D77" i="13"/>
  <c r="F23" i="13"/>
  <c r="F77" i="13"/>
  <c r="G13" i="13"/>
  <c r="G16" i="13"/>
  <c r="P32" i="13"/>
  <c r="J32" i="13"/>
  <c r="N32" i="13"/>
  <c r="D36" i="13"/>
  <c r="R37" i="13"/>
  <c r="N37" i="13"/>
  <c r="Q37" i="13"/>
  <c r="M37" i="13"/>
  <c r="I37" i="13"/>
  <c r="Q32" i="13"/>
  <c r="P37" i="13"/>
  <c r="O37" i="13"/>
  <c r="Q23" i="13"/>
  <c r="L36" i="13"/>
  <c r="J12" i="13"/>
  <c r="J9" i="13"/>
  <c r="I13" i="13"/>
  <c r="I16" i="13"/>
  <c r="J10" i="13"/>
  <c r="H16" i="13"/>
  <c r="H13" i="13"/>
  <c r="T8" i="13"/>
  <c r="U8" i="13"/>
  <c r="J11" i="13"/>
  <c r="H32" i="13"/>
  <c r="H37" i="13"/>
  <c r="R32" i="13"/>
  <c r="O32" i="13"/>
  <c r="R23" i="13"/>
  <c r="J64" i="13"/>
  <c r="M64" i="13"/>
  <c r="Q64" i="13"/>
  <c r="R64" i="13"/>
  <c r="I64" i="13"/>
  <c r="N64" i="13"/>
  <c r="Q36" i="13"/>
  <c r="L32" i="13"/>
  <c r="I36" i="13"/>
  <c r="R36" i="13"/>
  <c r="N23" i="13"/>
  <c r="H23" i="13"/>
  <c r="K32" i="13"/>
  <c r="M36" i="13"/>
  <c r="M23" i="13"/>
  <c r="O23" i="13"/>
  <c r="H64" i="13"/>
  <c r="O36" i="13"/>
  <c r="I23" i="13"/>
  <c r="J36" i="13"/>
  <c r="M32" i="13"/>
  <c r="K23" i="13"/>
  <c r="O64" i="13"/>
  <c r="K36" i="13"/>
  <c r="S37" i="13"/>
  <c r="P36" i="13"/>
  <c r="I32" i="13"/>
  <c r="P23" i="13"/>
  <c r="L64" i="13"/>
  <c r="P64" i="13"/>
  <c r="K64" i="13"/>
  <c r="N36" i="13"/>
  <c r="J23" i="13"/>
  <c r="S23" i="13"/>
  <c r="L23" i="13"/>
  <c r="H77" i="13"/>
  <c r="R77" i="13"/>
  <c r="I77" i="13"/>
  <c r="J13" i="13"/>
  <c r="J16" i="13"/>
  <c r="K11" i="13"/>
  <c r="K9" i="13"/>
  <c r="L9" i="13"/>
  <c r="K10" i="13"/>
  <c r="L10" i="13"/>
  <c r="K12" i="13"/>
  <c r="L12" i="13"/>
  <c r="H36" i="13"/>
  <c r="P77" i="13"/>
  <c r="S32" i="13"/>
  <c r="K77" i="13"/>
  <c r="Q77" i="13"/>
  <c r="M77" i="13"/>
  <c r="S36" i="13"/>
  <c r="O77" i="13"/>
  <c r="J77" i="13"/>
  <c r="L77" i="13"/>
  <c r="N77" i="13"/>
  <c r="S64" i="13"/>
  <c r="S77" i="13"/>
  <c r="M10" i="13"/>
  <c r="K13" i="13"/>
  <c r="K16" i="13"/>
  <c r="M12" i="13"/>
  <c r="N12" i="13"/>
  <c r="M9" i="13"/>
  <c r="N9" i="13"/>
  <c r="L11" i="13"/>
  <c r="T77" i="13"/>
  <c r="U77" i="13"/>
  <c r="L13" i="13"/>
  <c r="L16" i="13"/>
  <c r="O9" i="13"/>
  <c r="O12" i="13"/>
  <c r="M11" i="13"/>
  <c r="N11" i="13"/>
  <c r="N10" i="13"/>
  <c r="M13" i="13"/>
  <c r="M16" i="13"/>
  <c r="O11" i="13"/>
  <c r="N13" i="13"/>
  <c r="N16" i="13"/>
  <c r="P12" i="13"/>
  <c r="O10" i="13"/>
  <c r="P9" i="13"/>
  <c r="Q9" i="13"/>
  <c r="P10" i="13"/>
  <c r="Q12" i="13"/>
  <c r="R12" i="13"/>
  <c r="R9" i="13"/>
  <c r="O13" i="13"/>
  <c r="O16" i="13"/>
  <c r="P11" i="13"/>
  <c r="S12" i="13"/>
  <c r="T12" i="13"/>
  <c r="Q10" i="13"/>
  <c r="P13" i="13"/>
  <c r="P16" i="13"/>
  <c r="Q11" i="13"/>
  <c r="R11" i="13"/>
  <c r="S11" i="13"/>
  <c r="S9" i="13"/>
  <c r="Q13" i="13"/>
  <c r="Q16" i="13"/>
  <c r="T11" i="13"/>
  <c r="R10" i="13"/>
  <c r="T9" i="13"/>
  <c r="S10" i="13"/>
  <c r="S13" i="13"/>
  <c r="S16" i="13"/>
  <c r="R13" i="13"/>
  <c r="R16" i="13"/>
  <c r="T10" i="13"/>
  <c r="T13" i="13"/>
  <c r="T16" i="13"/>
  <c r="O23" i="47"/>
  <c r="O78" i="47"/>
  <c r="T24" i="47"/>
  <c r="T23" i="47"/>
  <c r="U23" i="47"/>
  <c r="T78" i="47"/>
  <c r="U78" i="47"/>
  <c r="U24" i="47"/>
</calcChain>
</file>

<file path=xl/sharedStrings.xml><?xml version="1.0" encoding="utf-8"?>
<sst xmlns="http://schemas.openxmlformats.org/spreadsheetml/2006/main" count="2065" uniqueCount="310">
  <si>
    <t>CONTRALORIA DEPARTAMENTAL DEL GUAVIARE</t>
  </si>
  <si>
    <t>CONCEPTO</t>
  </si>
  <si>
    <t>CREDITOS</t>
  </si>
  <si>
    <t>INICIAL</t>
  </si>
  <si>
    <t>20201101</t>
  </si>
  <si>
    <t>SERVICIOS PERSONALES</t>
  </si>
  <si>
    <t>2020110101</t>
  </si>
  <si>
    <t>SUELDO PERSONAL NOMINA</t>
  </si>
  <si>
    <t>2020110102</t>
  </si>
  <si>
    <t>GASTOS DE REPRESENTACION</t>
  </si>
  <si>
    <t>2020110103</t>
  </si>
  <si>
    <t>AUXILIO DE TRANSPORTE</t>
  </si>
  <si>
    <t>2020110104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</si>
  <si>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</si>
  <si>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</si>
  <si>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</si>
  <si>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</si>
  <si>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</si>
  <si>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</si>
  <si>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</si>
  <si>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VACACIONES COMPENSADAS</t>
  </si>
  <si>
    <t>PRIMA DE NAVIDAD</t>
  </si>
  <si>
    <t>20201102</t>
  </si>
  <si>
    <t>SERVICIOS PERSONAlES INDIRECTOS</t>
  </si>
  <si>
    <t>2020110201</t>
  </si>
  <si>
    <t>HONOR. SERV. PROFESIONALES</t>
  </si>
  <si>
    <t>2020110202</t>
  </si>
  <si>
    <t>SERVICIOS TECNICOS</t>
  </si>
  <si>
    <t>2020110203</t>
  </si>
  <si>
    <t>SUPERNUMERARIOS</t>
  </si>
  <si>
    <t>20201201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</si>
  <si>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</si>
  <si>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</si>
  <si>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</si>
  <si>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</si>
  <si>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</si>
  <si>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</si>
  <si>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</si>
  <si>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</si>
  <si>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</si>
  <si>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</si>
  <si>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</si>
  <si>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</si>
  <si>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</si>
  <si>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VIATICOS 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</si>
  <si>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</si>
  <si>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</si>
  <si>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</si>
  <si>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</si>
  <si>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</si>
  <si>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</si>
  <si>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</si>
  <si>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</si>
  <si>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</si>
  <si>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</si>
  <si>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</si>
  <si>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</si>
  <si>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</si>
  <si>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</si>
  <si>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</si>
  <si>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</si>
  <si>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</si>
  <si>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</si>
  <si>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</si>
  <si>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</si>
  <si>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</si>
  <si>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</si>
  <si>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</si>
  <si>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</si>
  <si>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</si>
  <si>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</si>
  <si>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</si>
  <si>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</si>
  <si>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</si>
  <si>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</si>
  <si>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</si>
  <si>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CONTRIBUCIONES INHERENTES A LA NOMINA PUBLICO</t>
  </si>
  <si>
    <t>2020110401</t>
  </si>
  <si>
    <t>CESANTIAS</t>
  </si>
  <si>
    <t>2020110402</t>
  </si>
  <si>
    <t>2020110403</t>
  </si>
  <si>
    <t>ACCIDENTES Y RIESGOS LARORALES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</si>
  <si>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</si>
  <si>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</si>
  <si>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</si>
  <si>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</si>
  <si>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</si>
  <si>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</si>
  <si>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</si>
  <si>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</si>
  <si>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</si>
  <si>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</si>
  <si>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</si>
  <si>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</si>
  <si>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</si>
  <si>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TRANSFERENCIAS CORRIENTES</t>
  </si>
  <si>
    <t>Sentencias Judiciales</t>
  </si>
  <si>
    <t>SALUD OCUPACIONAL</t>
  </si>
  <si>
    <t>RESUMEN DE INGRESOS</t>
  </si>
  <si>
    <t>RENGLON RENTISTICO</t>
  </si>
  <si>
    <t xml:space="preserve">PRESUPUESTO </t>
  </si>
  <si>
    <t>ADICIONES</t>
  </si>
  <si>
    <t>REDUCCIONES</t>
  </si>
  <si>
    <t>RECAUDOS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</si>
  <si>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</si>
  <si>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</si>
  <si>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</si>
  <si>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</si>
  <si>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</si>
  <si>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</si>
  <si>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</si>
  <si>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</si>
  <si>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</si>
  <si>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</si>
  <si>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</si>
  <si>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</si>
  <si>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PAC</t>
  </si>
  <si>
    <t xml:space="preserve"> </t>
  </si>
  <si>
    <t>EFECTIVOS</t>
  </si>
  <si>
    <t>APORTE DEPARTAMENTO</t>
  </si>
  <si>
    <t>ESE HOSPITAL SAN JOSÉ</t>
  </si>
  <si>
    <t>APORTE INSTITUTO DEPTAL DEPORTE</t>
  </si>
  <si>
    <t>ENERGUAVIARE</t>
  </si>
  <si>
    <t>ESE RED DE SERVICIOS PRIMER NIVEL</t>
  </si>
  <si>
    <t>RENTAS POR COBRAR</t>
  </si>
  <si>
    <t>SALDO EFECTIVO  (CAJA Y BANCOS)</t>
  </si>
  <si>
    <t>TOTAL DISPONIBLE</t>
  </si>
  <si>
    <t>APROPIACION</t>
  </si>
  <si>
    <t>CONTRACREDI</t>
  </si>
  <si>
    <t xml:space="preserve">GASTOS </t>
  </si>
  <si>
    <t>SERVICIOS PERSONALES INDIRECTOS</t>
  </si>
  <si>
    <t>GASTOS GENERALES</t>
  </si>
  <si>
    <t>ADQUISICIÓN DE BIENES</t>
  </si>
  <si>
    <t>ADQUISICIÓN DE SERVICIOS</t>
  </si>
  <si>
    <t>CONT. IN. A LA NOMINA PRIVADO</t>
  </si>
  <si>
    <t>CONT. INHERENTES A NOMINA PUBLICO</t>
  </si>
  <si>
    <t>TOTAL GASTOS</t>
  </si>
  <si>
    <t>JUAN PABLO RAMIREZ PALACIO</t>
  </si>
  <si>
    <t>Contralor Departamental del Guaviare</t>
  </si>
  <si>
    <t>NOHEMILCE QUINTERO CETINA</t>
  </si>
  <si>
    <t>INGRESOS 2018</t>
  </si>
  <si>
    <t xml:space="preserve"> Directora Administrativo y Financiero</t>
  </si>
  <si>
    <t>SENTENCIAS JUDICIALES</t>
  </si>
  <si>
    <t>SALDO DISPONIBLE</t>
  </si>
  <si>
    <t>FECHA</t>
  </si>
  <si>
    <t>APROPIACION INICIAL</t>
  </si>
  <si>
    <t>APROPIACIÓN TOTAL</t>
  </si>
  <si>
    <t>CONTRA CREDITO</t>
  </si>
  <si>
    <t>GASTOS FINANCIEROS</t>
  </si>
  <si>
    <t>CESANTIAS FNA</t>
  </si>
  <si>
    <t>TOTAL EJECUTADO</t>
  </si>
  <si>
    <t>saldos</t>
  </si>
  <si>
    <t xml:space="preserve">ANTEPROYECTO PRESUPUESTO DE GASTOS DE FUNCIONAMIENTO </t>
  </si>
  <si>
    <t>CODIGO PRESUPUESTAL</t>
  </si>
  <si>
    <t>VALOR</t>
  </si>
  <si>
    <t>PRESUPUESTO DE GASTOS</t>
  </si>
  <si>
    <t>EJECUCION PRESUPUESTAL  DE  EGRESOS</t>
  </si>
  <si>
    <t>CODIG</t>
  </si>
  <si>
    <t>APROPIACIÒN</t>
  </si>
  <si>
    <t>REDUCCION</t>
  </si>
  <si>
    <t>ADICION</t>
  </si>
  <si>
    <t>CONTRA</t>
  </si>
  <si>
    <t>TOTAL</t>
  </si>
  <si>
    <t>EJECUCIÒN</t>
  </si>
  <si>
    <t>EJECUCION</t>
  </si>
  <si>
    <t>%</t>
  </si>
  <si>
    <t>SALDO</t>
  </si>
  <si>
    <t xml:space="preserve">MESES  ANTER. </t>
  </si>
  <si>
    <t>MES</t>
  </si>
  <si>
    <t>EJECUTADO</t>
  </si>
  <si>
    <t>DISPONIBLE</t>
  </si>
  <si>
    <t>TOTALES</t>
  </si>
  <si>
    <t>RESPONSABLE</t>
  </si>
  <si>
    <t>NOHEMILCE QUINTERO CETINA - DIRECTORA ADMINISTRATIVA Y FINANCIERA</t>
  </si>
  <si>
    <t>VIGENCIA 2020</t>
  </si>
  <si>
    <t>PROGRAMA ANUAL MENSUALIZADO DE CAJA -INGRESOS AÑO 2020</t>
  </si>
  <si>
    <t xml:space="preserve">                                           PROGRAMA ANUAL MENSUALIZADO DE CAJA -EGRESOS AÑO 2020</t>
  </si>
  <si>
    <t>COLOMBIA TELECOMUNICACIO SA</t>
  </si>
  <si>
    <t>TRASALDO PRESUPUESTAL RES 3 -2020</t>
  </si>
  <si>
    <t>CREDITO PRESUPUESTAL RES 3 -2020</t>
  </si>
  <si>
    <t>AMBIENTTAR SA</t>
  </si>
  <si>
    <t>EMPOAGUAS</t>
  </si>
  <si>
    <t>TRASLADO RES 04-2020</t>
  </si>
  <si>
    <t>MARIA ALEJANDRA LOPEZ MANIOS</t>
  </si>
  <si>
    <t>CREDITO RES 04-2020</t>
  </si>
  <si>
    <t>CREDITO RES 0-2020</t>
  </si>
  <si>
    <t>CERTICAMARA</t>
  </si>
  <si>
    <t>APERTURA CAJA MENOR</t>
  </si>
  <si>
    <t>CONTRATO 003-2020 -INFORME MEDIO AMBIENTE</t>
  </si>
  <si>
    <t>CSINET SAS</t>
  </si>
  <si>
    <t>JAIME LONDOÑO FLOREZ</t>
  </si>
  <si>
    <t xml:space="preserve">TOTAL </t>
  </si>
  <si>
    <t>JUAN PABLO RAMIREZ PALACIO LIQ DEFININITIVA</t>
  </si>
  <si>
    <t>CESANTIAS FNA 2019</t>
  </si>
  <si>
    <t>CONTRATO 004-2020- ASESOR EXTERNO</t>
  </si>
  <si>
    <t>CONTRATO 01-2020</t>
  </si>
  <si>
    <t>VIATICOS</t>
  </si>
  <si>
    <t>TRANPORTE</t>
  </si>
  <si>
    <t>EDGAR PINZON CORZO</t>
  </si>
  <si>
    <t>YIRLEY OTALORA GALLO</t>
  </si>
  <si>
    <t>ENERO DE 2020</t>
  </si>
  <si>
    <t>VACACIONES</t>
  </si>
  <si>
    <t>BER</t>
  </si>
  <si>
    <t>EDWIN YESID BORERO BRAGA</t>
  </si>
  <si>
    <t>EDILBERTO GIRALDO JIMENEZ</t>
  </si>
  <si>
    <t>YULY ANDREA SERNA DIEZ</t>
  </si>
  <si>
    <t>FEBRERO DE 2020</t>
  </si>
  <si>
    <t>EJECUCIÓN</t>
  </si>
  <si>
    <t>TRASALDO PRESUPUESTAL RES 10 -2020</t>
  </si>
  <si>
    <t>CREDITO RES 10-2020</t>
  </si>
  <si>
    <t>REEMBOLSO CAJA MENOR</t>
  </si>
  <si>
    <t>CONTRATO 005-2020</t>
  </si>
  <si>
    <t>CONTRATO 007-2020- INFORME FINANZAS</t>
  </si>
  <si>
    <t>ROSENDO ERNESTO COLOMENARES</t>
  </si>
  <si>
    <t>MARZO DE 2020</t>
  </si>
  <si>
    <t>CONTRATO 007-2020</t>
  </si>
  <si>
    <t>45 SUELDO DE NOMINA</t>
  </si>
  <si>
    <t>45 SUELDO PERSONAL NOMINA</t>
  </si>
  <si>
    <t>INGRESOS 2020</t>
  </si>
  <si>
    <t>MODIFICACIONES</t>
  </si>
  <si>
    <t xml:space="preserve"> CONTRA CREDITOS</t>
  </si>
  <si>
    <t>CODIGO</t>
  </si>
  <si>
    <t>IDENTIFICACIÓN PRESUPUESTAL</t>
  </si>
  <si>
    <t>APROPIACIÓN DEFINITIVA</t>
  </si>
  <si>
    <t>TOTAL COMPROMISOS</t>
  </si>
  <si>
    <t>SAL DISPONIBLE</t>
  </si>
  <si>
    <t xml:space="preserve">PAGOS </t>
  </si>
  <si>
    <t xml:space="preserve">CUENTAS </t>
  </si>
  <si>
    <t xml:space="preserve">RESERVAS </t>
  </si>
  <si>
    <t>POR PAGAR  V 2020</t>
  </si>
  <si>
    <t>PRES V 2020</t>
  </si>
  <si>
    <t>OBLIGACIONES</t>
  </si>
  <si>
    <t>TOTAL PAGOS</t>
  </si>
  <si>
    <t>PAGOS ANTERIORES</t>
  </si>
  <si>
    <t>DEL PERIODO</t>
  </si>
  <si>
    <t>ROLBIN ANDRES GOMEZ - LIQ DEFINITIVA</t>
  </si>
  <si>
    <t>MYTHIAN ADRIANA CUESTA -LIQ DEFINITIVA</t>
  </si>
  <si>
    <t>ABRIL DE 2020</t>
  </si>
  <si>
    <t>C08 MARIA ALEJANDRA LOPÉZ MANIOS</t>
  </si>
  <si>
    <t>ADICION PRESUPUESTO DESCENTRALIZADAS</t>
  </si>
  <si>
    <t>TRASLADO PRESUPUESTO RES 51-2020</t>
  </si>
  <si>
    <t>CREDITO RES 51-2020</t>
  </si>
  <si>
    <t>ADICION CONTRATO 001-2020</t>
  </si>
  <si>
    <t>NOMINA MAYO</t>
  </si>
  <si>
    <t>PRORROGA</t>
  </si>
  <si>
    <t>MAYO DE 2020</t>
  </si>
  <si>
    <t>ADICION CONTRATO 004-2020</t>
  </si>
  <si>
    <t>CONTRATO 010-2020</t>
  </si>
  <si>
    <t>19-06-202</t>
  </si>
  <si>
    <t>NOMINA JUNIO</t>
  </si>
  <si>
    <t xml:space="preserve">AJUSTE </t>
  </si>
  <si>
    <t>JUNIO DE 2020</t>
  </si>
  <si>
    <t>CONTRATO 09</t>
  </si>
  <si>
    <t>REALIZADOS</t>
  </si>
  <si>
    <t>APROPIACIÓN</t>
  </si>
  <si>
    <t>COMPROMISOS</t>
  </si>
  <si>
    <t>Fecha de Aprobación: 29 de diciembre de 2019</t>
  </si>
  <si>
    <t>COD PRESUPUESTO</t>
  </si>
  <si>
    <t>CONTRATO 08-2020 MAN AIRES</t>
  </si>
  <si>
    <t>ANDREA VICTORIA CANCINO ANGARITA</t>
  </si>
  <si>
    <t>EDGAR  PINZON CORZO</t>
  </si>
  <si>
    <t>EDWIN YESID BORRERO BRAGA</t>
  </si>
  <si>
    <t>SANDRA MILENA VASQUEZ MONTES</t>
  </si>
  <si>
    <t>CREDITO RES 66-2020</t>
  </si>
  <si>
    <t>CONTRATO 13 DE 2020</t>
  </si>
  <si>
    <t>CONTRATO 11-2020</t>
  </si>
  <si>
    <t>TRASLADO RES 66-2020</t>
  </si>
  <si>
    <t>NOMINA JULIO</t>
  </si>
  <si>
    <t>SANDRA MILENA VASQUEZ</t>
  </si>
  <si>
    <t>ajuste ADRIANA CUESTA</t>
  </si>
  <si>
    <t>AJUSTE ADRIANA LIQ</t>
  </si>
  <si>
    <t>AJUSTE LIQ ADRIANA</t>
  </si>
  <si>
    <t>ajuste Rolbin Andres Gomez</t>
  </si>
  <si>
    <t>BRT</t>
  </si>
  <si>
    <t>JULIO DE 2020</t>
  </si>
  <si>
    <t>NOMINA JULIO DIANA Y ANDREA</t>
  </si>
  <si>
    <t>AJUSTE SALARIAL SERVIDORES</t>
  </si>
  <si>
    <t>AJUSTE PRIMA</t>
  </si>
  <si>
    <t>NOMINA JULIO ANDREA</t>
  </si>
  <si>
    <t>TRASLADO PRESUPUESTO RES 79-2020</t>
  </si>
  <si>
    <t>CREDITO RES 79-2020</t>
  </si>
  <si>
    <t>NOMINA AGOSTO 2020</t>
  </si>
  <si>
    <t>CONTRATO PAPELERIA</t>
  </si>
  <si>
    <t>CAJA MENOR</t>
  </si>
  <si>
    <t>CONTRATO 14 -2020</t>
  </si>
  <si>
    <t>AGOSTO DE 2020</t>
  </si>
  <si>
    <t>NOMINA SEPTIEMBRE 2020</t>
  </si>
  <si>
    <t xml:space="preserve">Liquidacion contrato </t>
  </si>
  <si>
    <t>ajustar liquidacion contrato</t>
  </si>
  <si>
    <t>reverso comision</t>
  </si>
  <si>
    <t>NOMINA SEP 2020</t>
  </si>
  <si>
    <t>RESOLUCION  95-2020 CREDITO</t>
  </si>
  <si>
    <t>AJUSTE</t>
  </si>
  <si>
    <t>ajuste</t>
  </si>
  <si>
    <t>SEPTIEMBRE DE 2020</t>
  </si>
  <si>
    <t>TRASLADO PPRESUPUESTO RES 97-2020</t>
  </si>
  <si>
    <t>CREDITO RES 97-20</t>
  </si>
  <si>
    <t xml:space="preserve">      </t>
  </si>
  <si>
    <t>LIQ ANDREA CANCINO</t>
  </si>
  <si>
    <t>NOMINA OCTUBRE</t>
  </si>
  <si>
    <t>NOMINA OCT 2020</t>
  </si>
  <si>
    <t>27-10-2020</t>
  </si>
  <si>
    <t>OCTUBRE DE 2020</t>
  </si>
  <si>
    <t>CONTRATO 17-2020</t>
  </si>
  <si>
    <t>CONTRATO 17-2020 ERIKA RAMOS</t>
  </si>
  <si>
    <t>ADICION CONTRATO 01 2020 CONTADOR</t>
  </si>
  <si>
    <t>30-10-2020</t>
  </si>
  <si>
    <t>CONTRACREDITO RES 97-2020</t>
  </si>
  <si>
    <t>CREDITO RES 97-2020</t>
  </si>
  <si>
    <t>contracredti Res 97-2020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</si>
</sst>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.00\ _€_-;\-* #,##0.00\ _€_-;_-* &quot;-&quot;??\ _€_-;_-@_-"/>
    <numFmt numFmtId="166" formatCode="_ * #,##0.00_ ;_ * \-#,##0.00_ ;_ * &quot;-&quot;??_ ;_ @_ "/>
    <numFmt numFmtId="167" formatCode="_ * #,##0_ ;_ * \-#,##0_ ;_ * &quot;-&quot;??_ ;_ @_ "/>
    <numFmt numFmtId="168" formatCode="[$-409]d\-mmm\-yy;@"/>
    <numFmt numFmtId="169" formatCode="_-* #,##0_-;\-* #,##0_-;_-* &quot;-&quot;??_-;_-@_-"/>
    <numFmt numFmtId="170" formatCode="_-&quot;$&quot;\ * #,##0_-;\-&quot;$&quot;\ * #,##0_-;_-&quot;$&quot;\ * &quot;-&quot;??_-;_-@_-"/>
  </numFmts>
  <fonts count="39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4"/>
      <name val="Bookman Old Style"/>
      <family val="1"/>
    </font>
    <font>
      <sz val="14"/>
      <color theme="0"/>
      <name val="Arial"/>
      <family val="2"/>
    </font>
    <font>
      <sz val="11"/>
      <color indexed="12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rgb="FF000000"/>
      <name val="Futura-Book"/>
    </font>
    <font>
      <sz val="10"/>
      <name val="Futura-Book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" fillId="0" borderId="0"/>
    <xf numFmtId="165" fontId="18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706">
    <xf numFmtId="0" fontId="0" fillId="0" borderId="0" xfId="0"/>
    <xf numFmtId="0" fontId="2" fillId="0" borderId="0" xfId="1"/>
    <xf numFmtId="167" fontId="8" fillId="2" borderId="1" xfId="4" applyNumberFormat="1" applyFont="1" applyFill="1" applyBorder="1"/>
    <xf numFmtId="167" fontId="8" fillId="2" borderId="14" xfId="4" applyNumberFormat="1" applyFont="1" applyFill="1" applyBorder="1"/>
    <xf numFmtId="167" fontId="8" fillId="2" borderId="1" xfId="2" applyNumberFormat="1" applyFont="1" applyFill="1" applyBorder="1"/>
    <xf numFmtId="167" fontId="9" fillId="2" borderId="1" xfId="2" applyNumberFormat="1" applyFont="1" applyFill="1" applyBorder="1"/>
    <xf numFmtId="167" fontId="8" fillId="2" borderId="16" xfId="2" applyNumberFormat="1" applyFont="1" applyFill="1" applyBorder="1"/>
    <xf numFmtId="4" fontId="2" fillId="0" borderId="1" xfId="5" applyNumberFormat="1" applyFont="1" applyBorder="1" applyAlignment="1">
      <alignment horizontal="right"/>
    </xf>
    <xf numFmtId="3" fontId="15" fillId="9" borderId="2" xfId="5" applyNumberFormat="1" applyFont="1" applyFill="1" applyBorder="1" applyAlignment="1">
      <alignment horizontal="right" vertical="center"/>
    </xf>
    <xf numFmtId="3" fontId="2" fillId="10" borderId="1" xfId="5" applyNumberFormat="1" applyFont="1" applyFill="1" applyBorder="1" applyAlignment="1">
      <alignment horizontal="right" vertical="center"/>
    </xf>
    <xf numFmtId="3" fontId="2" fillId="5" borderId="1" xfId="5" applyNumberFormat="1" applyFont="1" applyFill="1" applyBorder="1" applyAlignment="1">
      <alignment horizontal="right" vertical="center"/>
    </xf>
    <xf numFmtId="3" fontId="2" fillId="10" borderId="1" xfId="1" applyNumberFormat="1" applyFont="1" applyFill="1" applyBorder="1" applyAlignment="1">
      <alignment horizontal="right"/>
    </xf>
    <xf numFmtId="0" fontId="2" fillId="0" borderId="0" xfId="5" applyFont="1" applyBorder="1"/>
    <xf numFmtId="0" fontId="2" fillId="0" borderId="0" xfId="5" applyFont="1"/>
    <xf numFmtId="0" fontId="4" fillId="0" borderId="18" xfId="5" applyFont="1" applyBorder="1" applyAlignment="1">
      <alignment horizontal="centerContinuous"/>
    </xf>
    <xf numFmtId="0" fontId="4" fillId="0" borderId="0" xfId="5" applyFont="1" applyBorder="1" applyAlignment="1">
      <alignment horizontal="centerContinuous"/>
    </xf>
    <xf numFmtId="0" fontId="2" fillId="0" borderId="18" xfId="5" applyFont="1" applyBorder="1"/>
    <xf numFmtId="3" fontId="2" fillId="0" borderId="0" xfId="5" applyNumberFormat="1" applyFont="1" applyBorder="1"/>
    <xf numFmtId="3" fontId="2" fillId="0" borderId="18" xfId="5" applyNumberFormat="1" applyFont="1" applyBorder="1"/>
    <xf numFmtId="3" fontId="2" fillId="0" borderId="19" xfId="5" applyNumberFormat="1" applyFont="1" applyBorder="1"/>
    <xf numFmtId="3" fontId="2" fillId="0" borderId="20" xfId="5" applyNumberFormat="1" applyFont="1" applyBorder="1"/>
    <xf numFmtId="3" fontId="2" fillId="0" borderId="1" xfId="5" applyNumberFormat="1" applyFont="1" applyBorder="1"/>
    <xf numFmtId="3" fontId="2" fillId="0" borderId="15" xfId="5" applyNumberFormat="1" applyFont="1" applyBorder="1"/>
    <xf numFmtId="4" fontId="4" fillId="0" borderId="4" xfId="5" applyNumberFormat="1" applyFont="1" applyBorder="1"/>
    <xf numFmtId="4" fontId="2" fillId="0" borderId="1" xfId="5" applyNumberFormat="1" applyFont="1" applyBorder="1"/>
    <xf numFmtId="4" fontId="2" fillId="0" borderId="15" xfId="5" applyNumberFormat="1" applyFont="1" applyBorder="1"/>
    <xf numFmtId="3" fontId="2" fillId="0" borderId="0" xfId="5" applyNumberFormat="1" applyFont="1"/>
    <xf numFmtId="3" fontId="4" fillId="0" borderId="4" xfId="5" applyNumberFormat="1" applyFont="1" applyBorder="1"/>
    <xf numFmtId="0" fontId="4" fillId="0" borderId="0" xfId="5" applyFont="1" applyBorder="1"/>
    <xf numFmtId="0" fontId="2" fillId="0" borderId="10" xfId="5" applyFont="1" applyBorder="1"/>
    <xf numFmtId="3" fontId="4" fillId="0" borderId="11" xfId="5" applyNumberFormat="1" applyFont="1" applyBorder="1"/>
    <xf numFmtId="3" fontId="2" fillId="0" borderId="10" xfId="5" applyNumberFormat="1" applyFont="1" applyBorder="1"/>
    <xf numFmtId="3" fontId="2" fillId="0" borderId="11" xfId="5" applyNumberFormat="1" applyFont="1" applyBorder="1"/>
    <xf numFmtId="3" fontId="2" fillId="0" borderId="12" xfId="5" applyNumberFormat="1" applyFont="1" applyBorder="1"/>
    <xf numFmtId="3" fontId="4" fillId="0" borderId="0" xfId="5" applyNumberFormat="1" applyFont="1" applyBorder="1" applyAlignment="1">
      <alignment horizontal="centerContinuous"/>
    </xf>
    <xf numFmtId="3" fontId="4" fillId="0" borderId="18" xfId="5" applyNumberFormat="1" applyFont="1" applyBorder="1" applyAlignment="1">
      <alignment horizontal="centerContinuous"/>
    </xf>
    <xf numFmtId="3" fontId="4" fillId="0" borderId="19" xfId="5" applyNumberFormat="1" applyFont="1" applyBorder="1" applyAlignment="1">
      <alignment horizontal="centerContinuous"/>
    </xf>
    <xf numFmtId="3" fontId="4" fillId="0" borderId="0" xfId="5" applyNumberFormat="1" applyFont="1" applyBorder="1" applyAlignment="1">
      <alignment horizontal="centerContinuous" wrapText="1"/>
    </xf>
    <xf numFmtId="167" fontId="2" fillId="5" borderId="1" xfId="2" applyNumberFormat="1" applyFont="1" applyFill="1" applyBorder="1"/>
    <xf numFmtId="3" fontId="2" fillId="0" borderId="1" xfId="5" applyNumberFormat="1" applyFont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/>
    </xf>
    <xf numFmtId="3" fontId="8" fillId="2" borderId="1" xfId="6" applyNumberFormat="1" applyFont="1" applyFill="1" applyBorder="1" applyAlignment="1">
      <alignment horizontal="right" vertical="center"/>
    </xf>
    <xf numFmtId="3" fontId="2" fillId="0" borderId="15" xfId="5" applyNumberFormat="1" applyFont="1" applyBorder="1" applyAlignment="1">
      <alignment horizontal="right" vertical="center"/>
    </xf>
    <xf numFmtId="3" fontId="2" fillId="5" borderId="1" xfId="1" applyNumberFormat="1" applyFont="1" applyFill="1" applyBorder="1" applyAlignment="1">
      <alignment horizontal="right"/>
    </xf>
    <xf numFmtId="3" fontId="8" fillId="0" borderId="1" xfId="6" applyNumberFormat="1" applyFont="1" applyFill="1" applyBorder="1" applyAlignment="1">
      <alignment horizontal="right" vertical="center"/>
    </xf>
    <xf numFmtId="3" fontId="15" fillId="9" borderId="1" xfId="1" applyNumberFormat="1" applyFont="1" applyFill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0" fontId="2" fillId="0" borderId="19" xfId="5" applyFont="1" applyBorder="1"/>
    <xf numFmtId="0" fontId="2" fillId="0" borderId="0" xfId="5" applyFont="1" applyBorder="1" applyAlignment="1"/>
    <xf numFmtId="0" fontId="2" fillId="0" borderId="11" xfId="5" applyFont="1" applyBorder="1"/>
    <xf numFmtId="0" fontId="2" fillId="0" borderId="11" xfId="5" applyFont="1" applyBorder="1" applyAlignment="1"/>
    <xf numFmtId="0" fontId="2" fillId="0" borderId="11" xfId="5" applyFont="1" applyBorder="1" applyAlignment="1">
      <alignment horizontal="center"/>
    </xf>
    <xf numFmtId="0" fontId="2" fillId="0" borderId="12" xfId="5" applyFont="1" applyBorder="1"/>
    <xf numFmtId="0" fontId="2" fillId="0" borderId="6" xfId="5" applyFont="1" applyBorder="1"/>
    <xf numFmtId="0" fontId="2" fillId="0" borderId="7" xfId="5" applyFont="1" applyBorder="1"/>
    <xf numFmtId="0" fontId="2" fillId="0" borderId="8" xfId="5" applyFont="1" applyBorder="1"/>
    <xf numFmtId="0" fontId="2" fillId="0" borderId="1" xfId="1" applyFont="1" applyBorder="1"/>
    <xf numFmtId="0" fontId="2" fillId="2" borderId="1" xfId="1" applyFont="1" applyFill="1" applyBorder="1"/>
    <xf numFmtId="0" fontId="2" fillId="0" borderId="1" xfId="1" applyFont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0" borderId="24" xfId="1" applyFont="1" applyBorder="1" applyAlignment="1">
      <alignment horizontal="left"/>
    </xf>
    <xf numFmtId="0" fontId="4" fillId="7" borderId="21" xfId="5" applyFont="1" applyFill="1" applyBorder="1"/>
    <xf numFmtId="3" fontId="4" fillId="7" borderId="22" xfId="5" applyNumberFormat="1" applyFont="1" applyFill="1" applyBorder="1" applyAlignment="1">
      <alignment horizontal="right" vertical="center"/>
    </xf>
    <xf numFmtId="3" fontId="16" fillId="7" borderId="2" xfId="5" applyNumberFormat="1" applyFont="1" applyFill="1" applyBorder="1" applyAlignment="1">
      <alignment horizontal="right" vertical="center"/>
    </xf>
    <xf numFmtId="3" fontId="4" fillId="7" borderId="1" xfId="5" applyNumberFormat="1" applyFont="1" applyFill="1" applyBorder="1" applyAlignment="1">
      <alignment horizontal="right" vertical="center"/>
    </xf>
    <xf numFmtId="3" fontId="17" fillId="7" borderId="1" xfId="5" applyNumberFormat="1" applyFont="1" applyFill="1" applyBorder="1" applyAlignment="1">
      <alignment horizontal="right" vertical="center"/>
    </xf>
    <xf numFmtId="0" fontId="4" fillId="7" borderId="20" xfId="5" applyFont="1" applyFill="1" applyBorder="1"/>
    <xf numFmtId="3" fontId="4" fillId="7" borderId="15" xfId="5" applyNumberFormat="1" applyFont="1" applyFill="1" applyBorder="1" applyAlignment="1">
      <alignment horizontal="right" vertical="center"/>
    </xf>
    <xf numFmtId="0" fontId="4" fillId="7" borderId="6" xfId="5" applyFont="1" applyFill="1" applyBorder="1" applyAlignment="1">
      <alignment horizontal="center"/>
    </xf>
    <xf numFmtId="3" fontId="4" fillId="7" borderId="6" xfId="5" applyNumberFormat="1" applyFont="1" applyFill="1" applyBorder="1" applyAlignment="1">
      <alignment horizontal="center"/>
    </xf>
    <xf numFmtId="3" fontId="4" fillId="7" borderId="9" xfId="5" applyNumberFormat="1" applyFont="1" applyFill="1" applyBorder="1" applyAlignment="1">
      <alignment horizontal="center"/>
    </xf>
    <xf numFmtId="3" fontId="4" fillId="7" borderId="7" xfId="5" applyNumberFormat="1" applyFont="1" applyFill="1" applyBorder="1" applyAlignment="1">
      <alignment horizontal="center"/>
    </xf>
    <xf numFmtId="3" fontId="4" fillId="7" borderId="8" xfId="5" applyNumberFormat="1" applyFont="1" applyFill="1" applyBorder="1" applyAlignment="1">
      <alignment horizontal="center"/>
    </xf>
    <xf numFmtId="0" fontId="2" fillId="7" borderId="10" xfId="5" applyFont="1" applyFill="1" applyBorder="1"/>
    <xf numFmtId="3" fontId="4" fillId="7" borderId="10" xfId="5" applyNumberFormat="1" applyFont="1" applyFill="1" applyBorder="1" applyAlignment="1">
      <alignment horizontal="center"/>
    </xf>
    <xf numFmtId="3" fontId="4" fillId="7" borderId="13" xfId="5" applyNumberFormat="1" applyFont="1" applyFill="1" applyBorder="1" applyAlignment="1">
      <alignment horizontal="center"/>
    </xf>
    <xf numFmtId="3" fontId="2" fillId="7" borderId="11" xfId="5" applyNumberFormat="1" applyFont="1" applyFill="1" applyBorder="1"/>
    <xf numFmtId="3" fontId="2" fillId="7" borderId="13" xfId="5" applyNumberFormat="1" applyFont="1" applyFill="1" applyBorder="1"/>
    <xf numFmtId="3" fontId="4" fillId="7" borderId="11" xfId="5" applyNumberFormat="1" applyFont="1" applyFill="1" applyBorder="1" applyAlignment="1">
      <alignment horizontal="center"/>
    </xf>
    <xf numFmtId="3" fontId="2" fillId="7" borderId="12" xfId="5" applyNumberFormat="1" applyFont="1" applyFill="1" applyBorder="1"/>
    <xf numFmtId="0" fontId="4" fillId="11" borderId="6" xfId="5" applyFont="1" applyFill="1" applyBorder="1" applyAlignment="1">
      <alignment horizontal="center"/>
    </xf>
    <xf numFmtId="0" fontId="4" fillId="11" borderId="9" xfId="5" applyFont="1" applyFill="1" applyBorder="1" applyAlignment="1">
      <alignment horizontal="center"/>
    </xf>
    <xf numFmtId="0" fontId="4" fillId="11" borderId="7" xfId="5" applyFont="1" applyFill="1" applyBorder="1" applyAlignment="1">
      <alignment horizontal="center"/>
    </xf>
    <xf numFmtId="0" fontId="2" fillId="11" borderId="10" xfId="5" applyFont="1" applyFill="1" applyBorder="1"/>
    <xf numFmtId="0" fontId="4" fillId="11" borderId="10" xfId="5" applyFont="1" applyFill="1" applyBorder="1" applyAlignment="1">
      <alignment horizontal="center"/>
    </xf>
    <xf numFmtId="0" fontId="4" fillId="11" borderId="13" xfId="5" applyFont="1" applyFill="1" applyBorder="1" applyAlignment="1">
      <alignment horizontal="center"/>
    </xf>
    <xf numFmtId="0" fontId="4" fillId="11" borderId="11" xfId="5" applyFont="1" applyFill="1" applyBorder="1"/>
    <xf numFmtId="0" fontId="4" fillId="11" borderId="11" xfId="5" applyFont="1" applyFill="1" applyBorder="1" applyAlignment="1">
      <alignment horizontal="center"/>
    </xf>
    <xf numFmtId="0" fontId="2" fillId="11" borderId="13" xfId="5" applyFont="1" applyFill="1" applyBorder="1"/>
    <xf numFmtId="0" fontId="2" fillId="11" borderId="11" xfId="5" applyFont="1" applyFill="1" applyBorder="1"/>
    <xf numFmtId="0" fontId="4" fillId="11" borderId="20" xfId="5" applyFont="1" applyFill="1" applyBorder="1"/>
    <xf numFmtId="4" fontId="4" fillId="11" borderId="4" xfId="5" applyNumberFormat="1" applyFont="1" applyFill="1" applyBorder="1"/>
    <xf numFmtId="3" fontId="2" fillId="11" borderId="20" xfId="5" applyNumberFormat="1" applyFont="1" applyFill="1" applyBorder="1"/>
    <xf numFmtId="3" fontId="2" fillId="11" borderId="1" xfId="5" applyNumberFormat="1" applyFont="1" applyFill="1" applyBorder="1"/>
    <xf numFmtId="4" fontId="2" fillId="11" borderId="1" xfId="5" applyNumberFormat="1" applyFont="1" applyFill="1" applyBorder="1"/>
    <xf numFmtId="4" fontId="2" fillId="11" borderId="15" xfId="5" applyNumberFormat="1" applyFont="1" applyFill="1" applyBorder="1"/>
    <xf numFmtId="3" fontId="4" fillId="11" borderId="1" xfId="5" applyNumberFormat="1" applyFont="1" applyFill="1" applyBorder="1"/>
    <xf numFmtId="4" fontId="4" fillId="11" borderId="1" xfId="5" applyNumberFormat="1" applyFont="1" applyFill="1" applyBorder="1"/>
    <xf numFmtId="4" fontId="4" fillId="11" borderId="15" xfId="5" applyNumberFormat="1" applyFont="1" applyFill="1" applyBorder="1"/>
    <xf numFmtId="0" fontId="2" fillId="3" borderId="20" xfId="5" applyFont="1" applyFill="1" applyBorder="1"/>
    <xf numFmtId="0" fontId="2" fillId="0" borderId="20" xfId="1" applyFont="1" applyBorder="1" applyAlignment="1">
      <alignment horizontal="left"/>
    </xf>
    <xf numFmtId="0" fontId="4" fillId="4" borderId="20" xfId="1" applyFont="1" applyFill="1" applyBorder="1" applyAlignment="1">
      <alignment vertical="center"/>
    </xf>
    <xf numFmtId="41" fontId="15" fillId="0" borderId="15" xfId="11" applyFont="1" applyBorder="1"/>
    <xf numFmtId="3" fontId="4" fillId="4" borderId="20" xfId="1" applyNumberFormat="1" applyFont="1" applyFill="1" applyBorder="1" applyAlignment="1">
      <alignment vertical="center"/>
    </xf>
    <xf numFmtId="41" fontId="4" fillId="4" borderId="20" xfId="11" applyFont="1" applyFill="1" applyBorder="1" applyAlignment="1">
      <alignment vertical="center"/>
    </xf>
    <xf numFmtId="0" fontId="2" fillId="0" borderId="23" xfId="1" applyFont="1" applyBorder="1" applyAlignment="1">
      <alignment horizontal="left"/>
    </xf>
    <xf numFmtId="41" fontId="2" fillId="0" borderId="0" xfId="5" applyNumberFormat="1" applyFont="1" applyBorder="1"/>
    <xf numFmtId="41" fontId="2" fillId="0" borderId="1" xfId="11" applyFont="1" applyBorder="1" applyAlignment="1">
      <alignment horizontal="right" vertical="center"/>
    </xf>
    <xf numFmtId="41" fontId="8" fillId="2" borderId="1" xfId="11" applyFont="1" applyFill="1" applyBorder="1" applyAlignment="1">
      <alignment horizontal="right" vertical="center"/>
    </xf>
    <xf numFmtId="41" fontId="4" fillId="7" borderId="21" xfId="11" applyFont="1" applyFill="1" applyBorder="1"/>
    <xf numFmtId="0" fontId="2" fillId="0" borderId="0" xfId="5" applyFont="1" applyAlignment="1">
      <alignment horizontal="left"/>
    </xf>
    <xf numFmtId="0" fontId="2" fillId="11" borderId="0" xfId="5" applyFont="1" applyFill="1" applyAlignment="1">
      <alignment horizontal="left"/>
    </xf>
    <xf numFmtId="0" fontId="2" fillId="7" borderId="0" xfId="5" applyFont="1" applyFill="1" applyAlignment="1">
      <alignment horizontal="left"/>
    </xf>
    <xf numFmtId="0" fontId="4" fillId="7" borderId="20" xfId="1" applyFont="1" applyFill="1" applyBorder="1" applyAlignment="1">
      <alignment horizontal="left" vertical="center"/>
    </xf>
    <xf numFmtId="0" fontId="4" fillId="4" borderId="20" xfId="1" applyFont="1" applyFill="1" applyBorder="1" applyAlignment="1">
      <alignment horizontal="left" vertical="center"/>
    </xf>
    <xf numFmtId="0" fontId="2" fillId="0" borderId="20" xfId="1" applyFont="1" applyBorder="1" applyAlignment="1">
      <alignment horizontal="left" vertical="center"/>
    </xf>
    <xf numFmtId="0" fontId="4" fillId="0" borderId="0" xfId="5" applyFont="1" applyAlignment="1">
      <alignment wrapText="1"/>
    </xf>
    <xf numFmtId="3" fontId="2" fillId="12" borderId="1" xfId="5" applyNumberFormat="1" applyFont="1" applyFill="1" applyBorder="1" applyAlignment="1">
      <alignment horizontal="right" vertical="center"/>
    </xf>
    <xf numFmtId="0" fontId="2" fillId="0" borderId="1" xfId="1" applyFont="1" applyFill="1" applyBorder="1"/>
    <xf numFmtId="3" fontId="2" fillId="0" borderId="1" xfId="5" applyNumberFormat="1" applyFont="1" applyFill="1" applyBorder="1" applyAlignment="1">
      <alignment horizontal="right" vertical="center"/>
    </xf>
    <xf numFmtId="0" fontId="4" fillId="12" borderId="1" xfId="1" applyFont="1" applyFill="1" applyBorder="1"/>
    <xf numFmtId="3" fontId="4" fillId="12" borderId="1" xfId="5" applyNumberFormat="1" applyFont="1" applyFill="1" applyBorder="1" applyAlignment="1">
      <alignment horizontal="right" vertical="center"/>
    </xf>
    <xf numFmtId="0" fontId="2" fillId="0" borderId="1" xfId="5" applyFont="1" applyBorder="1"/>
    <xf numFmtId="41" fontId="15" fillId="0" borderId="1" xfId="11" applyFont="1" applyBorder="1"/>
    <xf numFmtId="3" fontId="15" fillId="9" borderId="1" xfId="5" applyNumberFormat="1" applyFont="1" applyFill="1" applyBorder="1" applyAlignment="1">
      <alignment horizontal="right" vertical="center"/>
    </xf>
    <xf numFmtId="0" fontId="4" fillId="12" borderId="1" xfId="1" applyFont="1" applyFill="1" applyBorder="1" applyAlignment="1">
      <alignment horizontal="left"/>
    </xf>
    <xf numFmtId="41" fontId="16" fillId="12" borderId="1" xfId="11" applyFont="1" applyFill="1" applyBorder="1"/>
    <xf numFmtId="3" fontId="16" fillId="12" borderId="1" xfId="5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left"/>
    </xf>
    <xf numFmtId="41" fontId="15" fillId="0" borderId="1" xfId="11" applyFont="1" applyFill="1" applyBorder="1"/>
    <xf numFmtId="3" fontId="15" fillId="0" borderId="1" xfId="5" applyNumberFormat="1" applyFont="1" applyFill="1" applyBorder="1" applyAlignment="1">
      <alignment horizontal="right" vertical="center"/>
    </xf>
    <xf numFmtId="0" fontId="2" fillId="12" borderId="1" xfId="1" applyFont="1" applyFill="1" applyBorder="1" applyAlignment="1">
      <alignment horizontal="left"/>
    </xf>
    <xf numFmtId="41" fontId="15" fillId="12" borderId="1" xfId="11" applyFont="1" applyFill="1" applyBorder="1"/>
    <xf numFmtId="3" fontId="15" fillId="12" borderId="1" xfId="5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0" fontId="6" fillId="12" borderId="1" xfId="1" applyFont="1" applyFill="1" applyBorder="1" applyAlignment="1">
      <alignment horizontal="left"/>
    </xf>
    <xf numFmtId="0" fontId="6" fillId="12" borderId="1" xfId="1" applyFont="1" applyFill="1" applyBorder="1"/>
    <xf numFmtId="41" fontId="20" fillId="12" borderId="1" xfId="11" applyFont="1" applyFill="1" applyBorder="1"/>
    <xf numFmtId="3" fontId="20" fillId="12" borderId="1" xfId="5" applyNumberFormat="1" applyFont="1" applyFill="1" applyBorder="1" applyAlignment="1">
      <alignment horizontal="right" vertical="center"/>
    </xf>
    <xf numFmtId="3" fontId="6" fillId="12" borderId="1" xfId="5" applyNumberFormat="1" applyFont="1" applyFill="1" applyBorder="1" applyAlignment="1">
      <alignment horizontal="right" vertical="center"/>
    </xf>
    <xf numFmtId="3" fontId="6" fillId="12" borderId="1" xfId="5" applyNumberFormat="1" applyFont="1" applyFill="1" applyBorder="1"/>
    <xf numFmtId="0" fontId="10" fillId="0" borderId="0" xfId="5" applyFont="1"/>
    <xf numFmtId="0" fontId="13" fillId="11" borderId="1" xfId="5" applyFont="1" applyFill="1" applyBorder="1"/>
    <xf numFmtId="0" fontId="13" fillId="11" borderId="1" xfId="1" applyFont="1" applyFill="1" applyBorder="1" applyAlignment="1">
      <alignment horizontal="left" vertical="center"/>
    </xf>
    <xf numFmtId="41" fontId="13" fillId="11" borderId="1" xfId="11" applyFont="1" applyFill="1" applyBorder="1"/>
    <xf numFmtId="3" fontId="6" fillId="12" borderId="1" xfId="1" applyNumberFormat="1" applyFont="1" applyFill="1" applyBorder="1" applyAlignment="1">
      <alignment horizontal="right"/>
    </xf>
    <xf numFmtId="3" fontId="13" fillId="11" borderId="1" xfId="5" applyNumberFormat="1" applyFont="1" applyFill="1" applyBorder="1" applyAlignment="1">
      <alignment horizontal="right" vertical="center"/>
    </xf>
    <xf numFmtId="0" fontId="13" fillId="11" borderId="1" xfId="5" applyFont="1" applyFill="1" applyBorder="1" applyAlignment="1">
      <alignment vertical="center"/>
    </xf>
    <xf numFmtId="0" fontId="4" fillId="13" borderId="5" xfId="5" applyFont="1" applyFill="1" applyBorder="1" applyAlignment="1">
      <alignment horizontal="left" wrapText="1"/>
    </xf>
    <xf numFmtId="0" fontId="4" fillId="13" borderId="5" xfId="5" applyFont="1" applyFill="1" applyBorder="1" applyAlignment="1">
      <alignment horizontal="center" wrapText="1"/>
    </xf>
    <xf numFmtId="3" fontId="4" fillId="13" borderId="5" xfId="5" applyNumberFormat="1" applyFont="1" applyFill="1" applyBorder="1" applyAlignment="1">
      <alignment horizontal="center" wrapText="1"/>
    </xf>
    <xf numFmtId="0" fontId="12" fillId="8" borderId="25" xfId="5" applyFont="1" applyFill="1" applyBorder="1" applyAlignment="1">
      <alignment horizontal="left" wrapText="1"/>
    </xf>
    <xf numFmtId="0" fontId="12" fillId="8" borderId="25" xfId="5" applyFont="1" applyFill="1" applyBorder="1" applyAlignment="1">
      <alignment horizontal="center" wrapText="1"/>
    </xf>
    <xf numFmtId="3" fontId="12" fillId="8" borderId="25" xfId="5" applyNumberFormat="1" applyFont="1" applyFill="1" applyBorder="1" applyAlignment="1">
      <alignment horizontal="center" wrapText="1"/>
    </xf>
    <xf numFmtId="0" fontId="13" fillId="13" borderId="1" xfId="5" applyFont="1" applyFill="1" applyBorder="1" applyAlignment="1">
      <alignment horizontal="left"/>
    </xf>
    <xf numFmtId="0" fontId="13" fillId="13" borderId="1" xfId="5" applyFont="1" applyFill="1" applyBorder="1"/>
    <xf numFmtId="3" fontId="13" fillId="13" borderId="1" xfId="5" applyNumberFormat="1" applyFont="1" applyFill="1" applyBorder="1" applyAlignment="1">
      <alignment horizontal="right" vertical="center"/>
    </xf>
    <xf numFmtId="0" fontId="13" fillId="11" borderId="1" xfId="1" applyFont="1" applyFill="1" applyBorder="1" applyAlignment="1">
      <alignment vertical="center"/>
    </xf>
    <xf numFmtId="3" fontId="13" fillId="11" borderId="1" xfId="1" applyNumberFormat="1" applyFont="1" applyFill="1" applyBorder="1" applyAlignment="1">
      <alignment vertical="center"/>
    </xf>
    <xf numFmtId="0" fontId="12" fillId="8" borderId="24" xfId="1" applyFont="1" applyFill="1" applyBorder="1" applyAlignment="1">
      <alignment vertical="center"/>
    </xf>
    <xf numFmtId="3" fontId="20" fillId="12" borderId="1" xfId="1" applyNumberFormat="1" applyFont="1" applyFill="1" applyBorder="1" applyAlignment="1">
      <alignment horizontal="right"/>
    </xf>
    <xf numFmtId="0" fontId="7" fillId="12" borderId="1" xfId="1" applyFont="1" applyFill="1" applyBorder="1" applyAlignment="1">
      <alignment horizontal="left"/>
    </xf>
    <xf numFmtId="41" fontId="21" fillId="12" borderId="1" xfId="11" applyFont="1" applyFill="1" applyBorder="1"/>
    <xf numFmtId="3" fontId="21" fillId="12" borderId="1" xfId="5" applyNumberFormat="1" applyFont="1" applyFill="1" applyBorder="1" applyAlignment="1">
      <alignment horizontal="right" vertical="center"/>
    </xf>
    <xf numFmtId="3" fontId="7" fillId="12" borderId="1" xfId="5" applyNumberFormat="1" applyFont="1" applyFill="1" applyBorder="1" applyAlignment="1">
      <alignment horizontal="right" vertical="center"/>
    </xf>
    <xf numFmtId="3" fontId="13" fillId="11" borderId="1" xfId="5" applyNumberFormat="1" applyFont="1" applyFill="1" applyBorder="1"/>
    <xf numFmtId="0" fontId="6" fillId="11" borderId="1" xfId="1" applyFont="1" applyFill="1" applyBorder="1" applyAlignment="1">
      <alignment horizontal="left" vertical="center"/>
    </xf>
    <xf numFmtId="0" fontId="6" fillId="11" borderId="1" xfId="1" applyFont="1" applyFill="1" applyBorder="1" applyAlignment="1">
      <alignment vertical="center"/>
    </xf>
    <xf numFmtId="3" fontId="6" fillId="11" borderId="1" xfId="1" applyNumberFormat="1" applyFont="1" applyFill="1" applyBorder="1" applyAlignment="1">
      <alignment vertical="center"/>
    </xf>
    <xf numFmtId="0" fontId="4" fillId="0" borderId="1" xfId="1" applyFont="1" applyBorder="1" applyAlignment="1">
      <alignment horizontal="left"/>
    </xf>
    <xf numFmtId="0" fontId="4" fillId="2" borderId="1" xfId="1" applyFont="1" applyFill="1" applyBorder="1"/>
    <xf numFmtId="41" fontId="16" fillId="0" borderId="1" xfId="11" applyFont="1" applyBorder="1"/>
    <xf numFmtId="3" fontId="16" fillId="9" borderId="1" xfId="5" applyNumberFormat="1" applyFont="1" applyFill="1" applyBorder="1" applyAlignment="1">
      <alignment horizontal="right" vertical="center"/>
    </xf>
    <xf numFmtId="3" fontId="4" fillId="10" borderId="1" xfId="1" applyNumberFormat="1" applyFont="1" applyFill="1" applyBorder="1" applyAlignment="1">
      <alignment horizontal="right"/>
    </xf>
    <xf numFmtId="0" fontId="4" fillId="0" borderId="0" xfId="5" applyFont="1"/>
    <xf numFmtId="3" fontId="4" fillId="5" borderId="1" xfId="5" applyNumberFormat="1" applyFont="1" applyFill="1" applyBorder="1" applyAlignment="1">
      <alignment horizontal="right" vertical="center"/>
    </xf>
    <xf numFmtId="3" fontId="4" fillId="0" borderId="1" xfId="5" applyNumberFormat="1" applyFont="1" applyBorder="1" applyAlignment="1">
      <alignment horizontal="right" vertical="center"/>
    </xf>
    <xf numFmtId="0" fontId="2" fillId="0" borderId="1" xfId="5" applyFont="1" applyBorder="1" applyAlignment="1">
      <alignment horizontal="left"/>
    </xf>
    <xf numFmtId="0" fontId="13" fillId="11" borderId="1" xfId="1" applyFont="1" applyFill="1" applyBorder="1" applyAlignment="1">
      <alignment horizontal="left" vertical="center" wrapText="1"/>
    </xf>
    <xf numFmtId="0" fontId="13" fillId="11" borderId="1" xfId="1" applyFont="1" applyFill="1" applyBorder="1" applyAlignment="1">
      <alignment vertical="center" wrapText="1"/>
    </xf>
    <xf numFmtId="41" fontId="13" fillId="11" borderId="1" xfId="1" applyNumberFormat="1" applyFont="1" applyFill="1" applyBorder="1" applyAlignment="1">
      <alignment vertical="center" wrapText="1"/>
    </xf>
    <xf numFmtId="0" fontId="2" fillId="0" borderId="0" xfId="5" applyFont="1" applyAlignment="1">
      <alignment wrapText="1"/>
    </xf>
    <xf numFmtId="0" fontId="7" fillId="12" borderId="1" xfId="1" applyFont="1" applyFill="1" applyBorder="1" applyAlignment="1">
      <alignment horizontal="left" vertical="center"/>
    </xf>
    <xf numFmtId="0" fontId="6" fillId="12" borderId="1" xfId="5" applyFont="1" applyFill="1" applyBorder="1"/>
    <xf numFmtId="0" fontId="2" fillId="0" borderId="16" xfId="1" applyFont="1" applyBorder="1" applyAlignment="1">
      <alignment horizontal="left"/>
    </xf>
    <xf numFmtId="3" fontId="2" fillId="0" borderId="16" xfId="5" applyNumberFormat="1" applyFont="1" applyBorder="1" applyAlignment="1">
      <alignment horizontal="right" vertical="center"/>
    </xf>
    <xf numFmtId="3" fontId="15" fillId="9" borderId="16" xfId="5" applyNumberFormat="1" applyFont="1" applyFill="1" applyBorder="1" applyAlignment="1">
      <alignment horizontal="right" vertical="center"/>
    </xf>
    <xf numFmtId="3" fontId="2" fillId="10" borderId="16" xfId="5" applyNumberFormat="1" applyFont="1" applyFill="1" applyBorder="1" applyAlignment="1">
      <alignment horizontal="right" vertical="center"/>
    </xf>
    <xf numFmtId="3" fontId="2" fillId="5" borderId="16" xfId="5" applyNumberFormat="1" applyFont="1" applyFill="1" applyBorder="1" applyAlignment="1">
      <alignment horizontal="right" vertical="center"/>
    </xf>
    <xf numFmtId="41" fontId="2" fillId="0" borderId="16" xfId="11" applyFont="1" applyBorder="1" applyAlignment="1">
      <alignment horizontal="right" vertical="center"/>
    </xf>
    <xf numFmtId="41" fontId="6" fillId="12" borderId="1" xfId="11" applyFont="1" applyFill="1" applyBorder="1" applyAlignment="1">
      <alignment horizontal="right" vertical="center"/>
    </xf>
    <xf numFmtId="41" fontId="2" fillId="0" borderId="0" xfId="5" applyNumberFormat="1" applyFont="1"/>
    <xf numFmtId="3" fontId="3" fillId="0" borderId="16" xfId="5" applyNumberFormat="1" applyFont="1" applyBorder="1" applyAlignment="1">
      <alignment horizontal="right" vertical="center"/>
    </xf>
    <xf numFmtId="3" fontId="22" fillId="9" borderId="16" xfId="5" applyNumberFormat="1" applyFont="1" applyFill="1" applyBorder="1" applyAlignment="1">
      <alignment horizontal="right" vertical="center"/>
    </xf>
    <xf numFmtId="3" fontId="3" fillId="10" borderId="16" xfId="5" applyNumberFormat="1" applyFont="1" applyFill="1" applyBorder="1" applyAlignment="1">
      <alignment horizontal="right" vertical="center"/>
    </xf>
    <xf numFmtId="3" fontId="3" fillId="5" borderId="16" xfId="5" applyNumberFormat="1" applyFont="1" applyFill="1" applyBorder="1" applyAlignment="1">
      <alignment horizontal="right" vertical="center"/>
    </xf>
    <xf numFmtId="41" fontId="3" fillId="0" borderId="16" xfId="11" applyFont="1" applyBorder="1" applyAlignment="1">
      <alignment horizontal="right" vertical="center"/>
    </xf>
    <xf numFmtId="41" fontId="11" fillId="8" borderId="24" xfId="11" applyFont="1" applyFill="1" applyBorder="1" applyAlignment="1">
      <alignment vertical="center"/>
    </xf>
    <xf numFmtId="41" fontId="2" fillId="0" borderId="0" xfId="11" applyFont="1"/>
    <xf numFmtId="168" fontId="12" fillId="8" borderId="21" xfId="5" applyNumberFormat="1" applyFont="1" applyFill="1" applyBorder="1" applyAlignment="1">
      <alignment wrapText="1"/>
    </xf>
    <xf numFmtId="168" fontId="4" fillId="13" borderId="26" xfId="5" applyNumberFormat="1" applyFont="1" applyFill="1" applyBorder="1" applyAlignment="1">
      <alignment wrapText="1"/>
    </xf>
    <xf numFmtId="168" fontId="13" fillId="11" borderId="20" xfId="1" applyNumberFormat="1" applyFont="1" applyFill="1" applyBorder="1" applyAlignment="1">
      <alignment horizontal="left" vertical="center"/>
    </xf>
    <xf numFmtId="168" fontId="6" fillId="12" borderId="20" xfId="5" applyNumberFormat="1" applyFont="1" applyFill="1" applyBorder="1"/>
    <xf numFmtId="168" fontId="2" fillId="0" borderId="1" xfId="5" applyNumberFormat="1" applyFont="1" applyBorder="1"/>
    <xf numFmtId="168" fontId="2" fillId="0" borderId="20" xfId="5" applyNumberFormat="1" applyFont="1" applyBorder="1"/>
    <xf numFmtId="168" fontId="4" fillId="12" borderId="20" xfId="5" applyNumberFormat="1" applyFont="1" applyFill="1" applyBorder="1"/>
    <xf numFmtId="168" fontId="2" fillId="0" borderId="20" xfId="5" applyNumberFormat="1" applyFont="1" applyFill="1" applyBorder="1"/>
    <xf numFmtId="168" fontId="13" fillId="11" borderId="1" xfId="5" applyNumberFormat="1" applyFont="1" applyFill="1" applyBorder="1"/>
    <xf numFmtId="168" fontId="4" fillId="0" borderId="20" xfId="5" applyNumberFormat="1" applyFont="1" applyBorder="1"/>
    <xf numFmtId="168" fontId="2" fillId="12" borderId="20" xfId="5" applyNumberFormat="1" applyFont="1" applyFill="1" applyBorder="1"/>
    <xf numFmtId="168" fontId="13" fillId="13" borderId="20" xfId="5" applyNumberFormat="1" applyFont="1" applyFill="1" applyBorder="1"/>
    <xf numFmtId="168" fontId="3" fillId="11" borderId="20" xfId="5" applyNumberFormat="1" applyFont="1" applyFill="1" applyBorder="1"/>
    <xf numFmtId="168" fontId="2" fillId="0" borderId="0" xfId="5" applyNumberFormat="1" applyFont="1"/>
    <xf numFmtId="168" fontId="7" fillId="12" borderId="20" xfId="5" applyNumberFormat="1" applyFont="1" applyFill="1" applyBorder="1"/>
    <xf numFmtId="168" fontId="2" fillId="0" borderId="20" xfId="5" applyNumberFormat="1" applyFont="1" applyBorder="1" applyAlignment="1">
      <alignment horizontal="right"/>
    </xf>
    <xf numFmtId="168" fontId="13" fillId="11" borderId="20" xfId="5" applyNumberFormat="1" applyFont="1" applyFill="1" applyBorder="1" applyAlignment="1">
      <alignment wrapText="1"/>
    </xf>
    <xf numFmtId="168" fontId="6" fillId="11" borderId="20" xfId="5" applyNumberFormat="1" applyFont="1" applyFill="1" applyBorder="1"/>
    <xf numFmtId="168" fontId="2" fillId="0" borderId="27" xfId="5" applyNumberFormat="1" applyFont="1" applyBorder="1"/>
    <xf numFmtId="168" fontId="12" fillId="8" borderId="23" xfId="5" applyNumberFormat="1" applyFont="1" applyFill="1" applyBorder="1"/>
    <xf numFmtId="41" fontId="2" fillId="0" borderId="1" xfId="11" applyFont="1" applyBorder="1"/>
    <xf numFmtId="168" fontId="2" fillId="3" borderId="20" xfId="5" applyNumberFormat="1" applyFont="1" applyFill="1" applyBorder="1"/>
    <xf numFmtId="0" fontId="2" fillId="3" borderId="1" xfId="1" applyFont="1" applyFill="1" applyBorder="1" applyAlignment="1">
      <alignment horizontal="left"/>
    </xf>
    <xf numFmtId="0" fontId="2" fillId="3" borderId="1" xfId="1" applyFont="1" applyFill="1" applyBorder="1"/>
    <xf numFmtId="0" fontId="2" fillId="9" borderId="1" xfId="5" applyFont="1" applyFill="1" applyBorder="1"/>
    <xf numFmtId="0" fontId="2" fillId="10" borderId="1" xfId="5" applyFont="1" applyFill="1" applyBorder="1"/>
    <xf numFmtId="3" fontId="12" fillId="8" borderId="28" xfId="5" applyNumberFormat="1" applyFont="1" applyFill="1" applyBorder="1" applyAlignment="1">
      <alignment wrapText="1"/>
    </xf>
    <xf numFmtId="3" fontId="4" fillId="13" borderId="3" xfId="5" applyNumberFormat="1" applyFont="1" applyFill="1" applyBorder="1" applyAlignment="1">
      <alignment horizontal="center" wrapText="1"/>
    </xf>
    <xf numFmtId="3" fontId="6" fillId="12" borderId="4" xfId="5" applyNumberFormat="1" applyFont="1" applyFill="1" applyBorder="1"/>
    <xf numFmtId="0" fontId="2" fillId="0" borderId="4" xfId="5" applyFont="1" applyBorder="1"/>
    <xf numFmtId="0" fontId="4" fillId="12" borderId="4" xfId="5" applyFont="1" applyFill="1" applyBorder="1"/>
    <xf numFmtId="0" fontId="2" fillId="0" borderId="4" xfId="5" applyFont="1" applyFill="1" applyBorder="1"/>
    <xf numFmtId="41" fontId="13" fillId="11" borderId="4" xfId="5" applyNumberFormat="1" applyFont="1" applyFill="1" applyBorder="1"/>
    <xf numFmtId="0" fontId="2" fillId="12" borderId="4" xfId="5" applyFont="1" applyFill="1" applyBorder="1"/>
    <xf numFmtId="3" fontId="13" fillId="11" borderId="4" xfId="5" applyNumberFormat="1" applyFont="1" applyFill="1" applyBorder="1"/>
    <xf numFmtId="3" fontId="7" fillId="12" borderId="4" xfId="5" applyNumberFormat="1" applyFont="1" applyFill="1" applyBorder="1"/>
    <xf numFmtId="0" fontId="6" fillId="12" borderId="4" xfId="5" applyFont="1" applyFill="1" applyBorder="1"/>
    <xf numFmtId="3" fontId="20" fillId="12" borderId="4" xfId="5" applyNumberFormat="1" applyFont="1" applyFill="1" applyBorder="1" applyAlignment="1">
      <alignment horizontal="right" vertical="center"/>
    </xf>
    <xf numFmtId="41" fontId="13" fillId="11" borderId="4" xfId="5" applyNumberFormat="1" applyFont="1" applyFill="1" applyBorder="1" applyAlignment="1">
      <alignment wrapText="1"/>
    </xf>
    <xf numFmtId="3" fontId="2" fillId="0" borderId="4" xfId="5" applyNumberFormat="1" applyFont="1" applyBorder="1"/>
    <xf numFmtId="41" fontId="6" fillId="12" borderId="4" xfId="5" applyNumberFormat="1" applyFont="1" applyFill="1" applyBorder="1"/>
    <xf numFmtId="0" fontId="2" fillId="0" borderId="17" xfId="5" applyFont="1" applyBorder="1"/>
    <xf numFmtId="0" fontId="3" fillId="0" borderId="17" xfId="5" applyFont="1" applyBorder="1"/>
    <xf numFmtId="41" fontId="11" fillId="8" borderId="29" xfId="11" applyFont="1" applyFill="1" applyBorder="1"/>
    <xf numFmtId="0" fontId="4" fillId="0" borderId="1" xfId="5" applyFont="1" applyBorder="1" applyAlignment="1">
      <alignment wrapText="1"/>
    </xf>
    <xf numFmtId="3" fontId="4" fillId="14" borderId="1" xfId="5" applyNumberFormat="1" applyFont="1" applyFill="1" applyBorder="1"/>
    <xf numFmtId="3" fontId="6" fillId="14" borderId="1" xfId="5" applyNumberFormat="1" applyFont="1" applyFill="1" applyBorder="1"/>
    <xf numFmtId="0" fontId="10" fillId="3" borderId="1" xfId="5" applyFont="1" applyFill="1" applyBorder="1"/>
    <xf numFmtId="3" fontId="7" fillId="14" borderId="1" xfId="5" applyNumberFormat="1" applyFont="1" applyFill="1" applyBorder="1"/>
    <xf numFmtId="0" fontId="2" fillId="0" borderId="1" xfId="5" applyFont="1" applyBorder="1" applyAlignment="1">
      <alignment wrapText="1"/>
    </xf>
    <xf numFmtId="3" fontId="2" fillId="14" borderId="1" xfId="5" applyNumberFormat="1" applyFont="1" applyFill="1" applyBorder="1"/>
    <xf numFmtId="41" fontId="2" fillId="0" borderId="16" xfId="11" applyFont="1" applyBorder="1"/>
    <xf numFmtId="41" fontId="2" fillId="5" borderId="1" xfId="11" applyFont="1" applyFill="1" applyBorder="1"/>
    <xf numFmtId="168" fontId="2" fillId="3" borderId="1" xfId="5" applyNumberFormat="1" applyFont="1" applyFill="1" applyBorder="1"/>
    <xf numFmtId="0" fontId="2" fillId="3" borderId="1" xfId="5" applyFont="1" applyFill="1" applyBorder="1" applyAlignment="1">
      <alignment horizontal="left"/>
    </xf>
    <xf numFmtId="0" fontId="2" fillId="3" borderId="1" xfId="5" applyFont="1" applyFill="1" applyBorder="1"/>
    <xf numFmtId="41" fontId="15" fillId="9" borderId="2" xfId="11" applyFont="1" applyFill="1" applyBorder="1" applyAlignment="1">
      <alignment horizontal="right" vertical="center"/>
    </xf>
    <xf numFmtId="41" fontId="2" fillId="10" borderId="1" xfId="11" applyFont="1" applyFill="1" applyBorder="1" applyAlignment="1">
      <alignment horizontal="right" vertical="center"/>
    </xf>
    <xf numFmtId="41" fontId="2" fillId="5" borderId="1" xfId="11" applyFont="1" applyFill="1" applyBorder="1" applyAlignment="1">
      <alignment horizontal="right" vertical="center"/>
    </xf>
    <xf numFmtId="41" fontId="0" fillId="0" borderId="0" xfId="12" applyFont="1"/>
    <xf numFmtId="0" fontId="23" fillId="6" borderId="21" xfId="1" applyFont="1" applyFill="1" applyBorder="1" applyAlignment="1">
      <alignment vertical="center" wrapText="1"/>
    </xf>
    <xf numFmtId="0" fontId="23" fillId="6" borderId="25" xfId="1" applyFont="1" applyFill="1" applyBorder="1" applyAlignment="1">
      <alignment vertical="center"/>
    </xf>
    <xf numFmtId="0" fontId="23" fillId="6" borderId="22" xfId="1" applyFont="1" applyFill="1" applyBorder="1" applyAlignment="1">
      <alignment vertical="center"/>
    </xf>
    <xf numFmtId="0" fontId="23" fillId="15" borderId="26" xfId="1" applyFont="1" applyFill="1" applyBorder="1" applyAlignment="1">
      <alignment vertical="center" wrapText="1"/>
    </xf>
    <xf numFmtId="0" fontId="23" fillId="15" borderId="5" xfId="1" applyFont="1" applyFill="1" applyBorder="1" applyAlignment="1">
      <alignment vertical="center"/>
    </xf>
    <xf numFmtId="164" fontId="24" fillId="15" borderId="30" xfId="1" applyNumberFormat="1" applyFont="1" applyFill="1" applyBorder="1" applyAlignment="1">
      <alignment vertical="center"/>
    </xf>
    <xf numFmtId="0" fontId="4" fillId="0" borderId="20" xfId="1" applyFont="1" applyBorder="1" applyAlignment="1">
      <alignment horizontal="center"/>
    </xf>
    <xf numFmtId="0" fontId="7" fillId="0" borderId="1" xfId="1" applyFont="1" applyBorder="1"/>
    <xf numFmtId="41" fontId="0" fillId="0" borderId="15" xfId="12" applyFont="1" applyBorder="1"/>
    <xf numFmtId="0" fontId="6" fillId="4" borderId="20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64" fontId="6" fillId="4" borderId="15" xfId="13" applyFont="1" applyFill="1" applyBorder="1" applyAlignment="1">
      <alignment vertical="center"/>
    </xf>
    <xf numFmtId="0" fontId="5" fillId="0" borderId="20" xfId="1" applyFont="1" applyBorder="1" applyAlignment="1"/>
    <xf numFmtId="41" fontId="0" fillId="0" borderId="1" xfId="12" applyFont="1" applyBorder="1"/>
    <xf numFmtId="0" fontId="5" fillId="0" borderId="20" xfId="1" applyFont="1" applyBorder="1" applyAlignment="1">
      <alignment horizontal="left"/>
    </xf>
    <xf numFmtId="41" fontId="6" fillId="4" borderId="15" xfId="1" applyNumberFormat="1" applyFont="1" applyFill="1" applyBorder="1" applyAlignment="1">
      <alignment vertical="center"/>
    </xf>
    <xf numFmtId="0" fontId="6" fillId="4" borderId="1" xfId="1" applyFont="1" applyFill="1" applyBorder="1" applyAlignment="1">
      <alignment horizontal="left" vertical="center"/>
    </xf>
    <xf numFmtId="41" fontId="6" fillId="4" borderId="15" xfId="1" applyNumberFormat="1" applyFont="1" applyFill="1" applyBorder="1" applyAlignment="1">
      <alignment horizontal="left" vertical="center"/>
    </xf>
    <xf numFmtId="0" fontId="0" fillId="0" borderId="1" xfId="1" applyFont="1" applyBorder="1" applyAlignment="1">
      <alignment horizontal="left"/>
    </xf>
    <xf numFmtId="0" fontId="7" fillId="4" borderId="1" xfId="1" applyFont="1" applyFill="1" applyBorder="1" applyAlignment="1">
      <alignment horizontal="left" vertical="center" wrapText="1"/>
    </xf>
    <xf numFmtId="41" fontId="7" fillId="4" borderId="15" xfId="1" applyNumberFormat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left" vertical="center"/>
    </xf>
    <xf numFmtId="41" fontId="7" fillId="4" borderId="15" xfId="1" applyNumberFormat="1" applyFont="1" applyFill="1" applyBorder="1" applyAlignment="1">
      <alignment horizontal="left" vertical="center"/>
    </xf>
    <xf numFmtId="0" fontId="5" fillId="0" borderId="20" xfId="1" applyFont="1" applyBorder="1" applyAlignment="1">
      <alignment vertical="center"/>
    </xf>
    <xf numFmtId="0" fontId="6" fillId="4" borderId="20" xfId="1" applyFont="1" applyFill="1" applyBorder="1" applyAlignment="1">
      <alignment horizontal="left" vertical="center"/>
    </xf>
    <xf numFmtId="0" fontId="5" fillId="0" borderId="23" xfId="1" applyFont="1" applyBorder="1" applyAlignment="1">
      <alignment horizontal="left"/>
    </xf>
    <xf numFmtId="41" fontId="0" fillId="0" borderId="31" xfId="12" applyFont="1" applyBorder="1"/>
    <xf numFmtId="41" fontId="4" fillId="4" borderId="20" xfId="1" applyNumberFormat="1" applyFont="1" applyFill="1" applyBorder="1" applyAlignment="1">
      <alignment vertical="center"/>
    </xf>
    <xf numFmtId="0" fontId="2" fillId="3" borderId="2" xfId="5" applyFont="1" applyFill="1" applyBorder="1"/>
    <xf numFmtId="41" fontId="15" fillId="3" borderId="1" xfId="11" applyFont="1" applyFill="1" applyBorder="1"/>
    <xf numFmtId="3" fontId="2" fillId="3" borderId="1" xfId="5" applyNumberFormat="1" applyFont="1" applyFill="1" applyBorder="1" applyAlignment="1">
      <alignment horizontal="right" vertical="center"/>
    </xf>
    <xf numFmtId="0" fontId="2" fillId="3" borderId="0" xfId="5" applyFont="1" applyFill="1"/>
    <xf numFmtId="0" fontId="21" fillId="3" borderId="0" xfId="0" applyFont="1" applyFill="1" applyAlignment="1">
      <alignment horizontal="center" vertical="center"/>
    </xf>
    <xf numFmtId="41" fontId="15" fillId="3" borderId="0" xfId="11" applyFont="1" applyFill="1" applyBorder="1"/>
    <xf numFmtId="168" fontId="4" fillId="3" borderId="20" xfId="5" applyNumberFormat="1" applyFont="1" applyFill="1" applyBorder="1"/>
    <xf numFmtId="0" fontId="4" fillId="3" borderId="1" xfId="1" applyFont="1" applyFill="1" applyBorder="1" applyAlignment="1">
      <alignment horizontal="left"/>
    </xf>
    <xf numFmtId="168" fontId="6" fillId="12" borderId="1" xfId="5" applyNumberFormat="1" applyFont="1" applyFill="1" applyBorder="1"/>
    <xf numFmtId="3" fontId="13" fillId="12" borderId="1" xfId="5" applyNumberFormat="1" applyFont="1" applyFill="1" applyBorder="1"/>
    <xf numFmtId="168" fontId="2" fillId="3" borderId="27" xfId="5" applyNumberFormat="1" applyFont="1" applyFill="1" applyBorder="1"/>
    <xf numFmtId="0" fontId="2" fillId="3" borderId="16" xfId="1" applyFont="1" applyFill="1" applyBorder="1" applyAlignment="1">
      <alignment horizontal="left"/>
    </xf>
    <xf numFmtId="0" fontId="3" fillId="2" borderId="0" xfId="1" applyFont="1" applyFill="1" applyAlignment="1">
      <alignment horizontal="right"/>
    </xf>
    <xf numFmtId="0" fontId="5" fillId="2" borderId="0" xfId="1" applyFont="1" applyFill="1"/>
    <xf numFmtId="0" fontId="5" fillId="0" borderId="0" xfId="1" applyFont="1" applyFill="1"/>
    <xf numFmtId="167" fontId="5" fillId="2" borderId="0" xfId="4" applyNumberFormat="1" applyFont="1" applyFill="1"/>
    <xf numFmtId="0" fontId="2" fillId="2" borderId="0" xfId="1" applyFill="1" applyBorder="1"/>
    <xf numFmtId="0" fontId="11" fillId="6" borderId="9" xfId="1" applyFont="1" applyFill="1" applyBorder="1" applyAlignment="1">
      <alignment horizontal="right"/>
    </xf>
    <xf numFmtId="0" fontId="11" fillId="6" borderId="8" xfId="1" applyFont="1" applyFill="1" applyBorder="1"/>
    <xf numFmtId="0" fontId="11" fillId="6" borderId="6" xfId="1" applyFont="1" applyFill="1" applyBorder="1" applyAlignment="1">
      <alignment horizontal="center"/>
    </xf>
    <xf numFmtId="0" fontId="11" fillId="6" borderId="9" xfId="1" applyFont="1" applyFill="1" applyBorder="1" applyAlignment="1">
      <alignment horizontal="center"/>
    </xf>
    <xf numFmtId="0" fontId="11" fillId="6" borderId="8" xfId="1" applyFont="1" applyFill="1" applyBorder="1" applyAlignment="1">
      <alignment horizontal="center"/>
    </xf>
    <xf numFmtId="167" fontId="11" fillId="6" borderId="7" xfId="4" applyNumberFormat="1" applyFont="1" applyFill="1" applyBorder="1" applyAlignment="1">
      <alignment horizontal="center"/>
    </xf>
    <xf numFmtId="0" fontId="26" fillId="6" borderId="9" xfId="1" applyFont="1" applyFill="1" applyBorder="1" applyAlignment="1">
      <alignment horizontal="center"/>
    </xf>
    <xf numFmtId="0" fontId="11" fillId="6" borderId="32" xfId="1" applyFont="1" applyFill="1" applyBorder="1" applyAlignment="1">
      <alignment horizontal="right"/>
    </xf>
    <xf numFmtId="0" fontId="11" fillId="6" borderId="12" xfId="1" applyFont="1" applyFill="1" applyBorder="1" applyAlignment="1">
      <alignment horizontal="right"/>
    </xf>
    <xf numFmtId="0" fontId="11" fillId="6" borderId="10" xfId="1" applyFont="1" applyFill="1" applyBorder="1" applyAlignment="1">
      <alignment horizontal="center"/>
    </xf>
    <xf numFmtId="0" fontId="11" fillId="6" borderId="13" xfId="1" applyFont="1" applyFill="1" applyBorder="1" applyAlignment="1">
      <alignment horizontal="center"/>
    </xf>
    <xf numFmtId="0" fontId="11" fillId="6" borderId="12" xfId="1" applyFont="1" applyFill="1" applyBorder="1"/>
    <xf numFmtId="0" fontId="11" fillId="6" borderId="12" xfId="1" applyFont="1" applyFill="1" applyBorder="1" applyAlignment="1">
      <alignment horizontal="center"/>
    </xf>
    <xf numFmtId="167" fontId="11" fillId="6" borderId="11" xfId="4" applyNumberFormat="1" applyFont="1" applyFill="1" applyBorder="1" applyAlignment="1">
      <alignment horizontal="center"/>
    </xf>
    <xf numFmtId="0" fontId="26" fillId="6" borderId="13" xfId="1" applyFont="1" applyFill="1" applyBorder="1"/>
    <xf numFmtId="0" fontId="4" fillId="0" borderId="33" xfId="1" applyFont="1" applyBorder="1" applyAlignment="1">
      <alignment horizontal="right"/>
    </xf>
    <xf numFmtId="0" fontId="7" fillId="0" borderId="34" xfId="1" applyFont="1" applyBorder="1"/>
    <xf numFmtId="0" fontId="7" fillId="0" borderId="5" xfId="1" applyFont="1" applyBorder="1"/>
    <xf numFmtId="0" fontId="7" fillId="0" borderId="5" xfId="1" applyFont="1" applyFill="1" applyBorder="1"/>
    <xf numFmtId="4" fontId="7" fillId="0" borderId="5" xfId="1" applyNumberFormat="1" applyFont="1" applyBorder="1"/>
    <xf numFmtId="167" fontId="7" fillId="0" borderId="3" xfId="4" applyNumberFormat="1" applyFont="1" applyBorder="1"/>
    <xf numFmtId="0" fontId="7" fillId="0" borderId="3" xfId="1" applyFont="1" applyBorder="1"/>
    <xf numFmtId="0" fontId="2" fillId="0" borderId="32" xfId="1" applyBorder="1"/>
    <xf numFmtId="0" fontId="6" fillId="4" borderId="32" xfId="1" applyFont="1" applyFill="1" applyBorder="1" applyAlignment="1">
      <alignment horizontal="right" vertical="center"/>
    </xf>
    <xf numFmtId="0" fontId="6" fillId="4" borderId="2" xfId="1" applyFont="1" applyFill="1" applyBorder="1" applyAlignment="1">
      <alignment vertical="center"/>
    </xf>
    <xf numFmtId="3" fontId="6" fillId="4" borderId="1" xfId="1" applyNumberFormat="1" applyFont="1" applyFill="1" applyBorder="1" applyAlignment="1">
      <alignment horizontal="right" vertical="center"/>
    </xf>
    <xf numFmtId="9" fontId="6" fillId="4" borderId="1" xfId="1" applyNumberFormat="1" applyFont="1" applyFill="1" applyBorder="1" applyAlignment="1">
      <alignment horizontal="right" vertical="center"/>
    </xf>
    <xf numFmtId="167" fontId="6" fillId="4" borderId="1" xfId="4" applyNumberFormat="1" applyFont="1" applyFill="1" applyBorder="1" applyAlignment="1">
      <alignment horizontal="right" vertical="center"/>
    </xf>
    <xf numFmtId="9" fontId="6" fillId="4" borderId="33" xfId="1" applyNumberFormat="1" applyFont="1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5" fillId="0" borderId="33" xfId="1" applyFont="1" applyBorder="1" applyAlignment="1">
      <alignment horizontal="right"/>
    </xf>
    <xf numFmtId="0" fontId="2" fillId="0" borderId="2" xfId="1" applyFont="1" applyBorder="1"/>
    <xf numFmtId="41" fontId="15" fillId="0" borderId="1" xfId="14" applyFont="1" applyBorder="1"/>
    <xf numFmtId="3" fontId="5" fillId="0" borderId="2" xfId="1" applyNumberFormat="1" applyFont="1" applyFill="1" applyBorder="1" applyAlignment="1">
      <alignment horizontal="right"/>
    </xf>
    <xf numFmtId="3" fontId="27" fillId="16" borderId="1" xfId="1" applyNumberFormat="1" applyFont="1" applyFill="1" applyBorder="1" applyAlignment="1">
      <alignment horizontal="right"/>
    </xf>
    <xf numFmtId="3" fontId="5" fillId="17" borderId="1" xfId="1" applyNumberFormat="1" applyFont="1" applyFill="1" applyBorder="1" applyAlignment="1">
      <alignment horizontal="right"/>
    </xf>
    <xf numFmtId="167" fontId="4" fillId="5" borderId="1" xfId="2" applyNumberFormat="1" applyFont="1" applyFill="1" applyBorder="1"/>
    <xf numFmtId="3" fontId="5" fillId="0" borderId="1" xfId="1" applyNumberFormat="1" applyFont="1" applyBorder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9" fontId="7" fillId="0" borderId="1" xfId="1" applyNumberFormat="1" applyFont="1" applyBorder="1" applyAlignment="1">
      <alignment horizontal="right"/>
    </xf>
    <xf numFmtId="167" fontId="5" fillId="0" borderId="1" xfId="4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9" fontId="7" fillId="0" borderId="33" xfId="1" applyNumberFormat="1" applyFont="1" applyBorder="1" applyAlignment="1">
      <alignment horizontal="center"/>
    </xf>
    <xf numFmtId="3" fontId="5" fillId="5" borderId="1" xfId="1" applyNumberFormat="1" applyFont="1" applyFill="1" applyBorder="1" applyAlignment="1">
      <alignment horizontal="right"/>
    </xf>
    <xf numFmtId="3" fontId="6" fillId="4" borderId="4" xfId="1" applyNumberFormat="1" applyFont="1" applyFill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2" fillId="2" borderId="2" xfId="1" applyFont="1" applyFill="1" applyBorder="1"/>
    <xf numFmtId="0" fontId="2" fillId="0" borderId="2" xfId="1" applyFont="1" applyBorder="1" applyAlignment="1">
      <alignment horizontal="left"/>
    </xf>
    <xf numFmtId="0" fontId="6" fillId="4" borderId="2" xfId="1" applyFont="1" applyFill="1" applyBorder="1" applyAlignment="1">
      <alignment horizontal="left" vertical="center"/>
    </xf>
    <xf numFmtId="167" fontId="7" fillId="0" borderId="1" xfId="4" applyNumberFormat="1" applyFont="1" applyBorder="1" applyAlignment="1">
      <alignment horizontal="right"/>
    </xf>
    <xf numFmtId="0" fontId="2" fillId="2" borderId="2" xfId="1" applyFont="1" applyFill="1" applyBorder="1" applyAlignment="1">
      <alignment horizontal="left"/>
    </xf>
    <xf numFmtId="9" fontId="7" fillId="2" borderId="33" xfId="1" applyNumberFormat="1" applyFont="1" applyFill="1" applyBorder="1" applyAlignment="1">
      <alignment horizontal="center"/>
    </xf>
    <xf numFmtId="3" fontId="28" fillId="5" borderId="1" xfId="1" applyNumberFormat="1" applyFont="1" applyFill="1" applyBorder="1" applyAlignment="1">
      <alignment horizontal="right"/>
    </xf>
    <xf numFmtId="3" fontId="7" fillId="17" borderId="1" xfId="1" applyNumberFormat="1" applyFont="1" applyFill="1" applyBorder="1" applyAlignment="1">
      <alignment horizontal="right"/>
    </xf>
    <xf numFmtId="0" fontId="5" fillId="0" borderId="32" xfId="1" applyFont="1" applyBorder="1" applyAlignment="1">
      <alignment horizontal="right"/>
    </xf>
    <xf numFmtId="0" fontId="7" fillId="4" borderId="2" xfId="1" applyFont="1" applyFill="1" applyBorder="1" applyAlignment="1">
      <alignment horizontal="left" vertical="center" wrapText="1"/>
    </xf>
    <xf numFmtId="166" fontId="6" fillId="4" borderId="1" xfId="1" applyNumberFormat="1" applyFont="1" applyFill="1" applyBorder="1" applyAlignment="1">
      <alignment vertical="center"/>
    </xf>
    <xf numFmtId="167" fontId="2" fillId="0" borderId="0" xfId="1" applyNumberFormat="1"/>
    <xf numFmtId="3" fontId="7" fillId="0" borderId="2" xfId="1" applyNumberFormat="1" applyFont="1" applyBorder="1" applyAlignment="1">
      <alignment horizontal="right"/>
    </xf>
    <xf numFmtId="3" fontId="7" fillId="5" borderId="1" xfId="1" applyNumberFormat="1" applyFont="1" applyFill="1" applyBorder="1" applyAlignment="1">
      <alignment horizontal="right"/>
    </xf>
    <xf numFmtId="0" fontId="7" fillId="4" borderId="2" xfId="1" applyFont="1" applyFill="1" applyBorder="1" applyAlignment="1">
      <alignment horizontal="left" vertical="center"/>
    </xf>
    <xf numFmtId="0" fontId="5" fillId="0" borderId="33" xfId="1" applyFont="1" applyBorder="1" applyAlignment="1">
      <alignment horizontal="right" vertical="center"/>
    </xf>
    <xf numFmtId="167" fontId="8" fillId="3" borderId="1" xfId="4" applyNumberFormat="1" applyFont="1" applyFill="1" applyBorder="1"/>
    <xf numFmtId="3" fontId="10" fillId="4" borderId="1" xfId="1" applyNumberFormat="1" applyFont="1" applyFill="1" applyBorder="1" applyAlignment="1">
      <alignment horizontal="right" vertical="center"/>
    </xf>
    <xf numFmtId="0" fontId="5" fillId="0" borderId="35" xfId="1" applyFont="1" applyBorder="1" applyAlignment="1">
      <alignment horizontal="right"/>
    </xf>
    <xf numFmtId="0" fontId="2" fillId="0" borderId="36" xfId="1" applyFont="1" applyBorder="1" applyAlignment="1">
      <alignment horizontal="left"/>
    </xf>
    <xf numFmtId="3" fontId="5" fillId="0" borderId="16" xfId="1" applyNumberFormat="1" applyFont="1" applyFill="1" applyBorder="1" applyAlignment="1">
      <alignment horizontal="right"/>
    </xf>
    <xf numFmtId="3" fontId="27" fillId="16" borderId="16" xfId="1" applyNumberFormat="1" applyFont="1" applyFill="1" applyBorder="1" applyAlignment="1">
      <alignment horizontal="right"/>
    </xf>
    <xf numFmtId="3" fontId="5" fillId="17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0" fontId="11" fillId="6" borderId="35" xfId="1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left" vertical="center"/>
    </xf>
    <xf numFmtId="167" fontId="11" fillId="6" borderId="16" xfId="1" applyNumberFormat="1" applyFont="1" applyFill="1" applyBorder="1" applyAlignment="1">
      <alignment horizontal="right" vertical="center"/>
    </xf>
    <xf numFmtId="3" fontId="11" fillId="6" borderId="16" xfId="1" applyNumberFormat="1" applyFont="1" applyFill="1" applyBorder="1" applyAlignment="1">
      <alignment horizontal="right" vertical="center"/>
    </xf>
    <xf numFmtId="9" fontId="11" fillId="6" borderId="16" xfId="1" applyNumberFormat="1" applyFont="1" applyFill="1" applyBorder="1" applyAlignment="1">
      <alignment horizontal="right" vertical="center"/>
    </xf>
    <xf numFmtId="9" fontId="11" fillId="6" borderId="35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4" xfId="1" applyFont="1" applyFill="1" applyBorder="1" applyAlignment="1">
      <alignment horizontal="right" wrapText="1"/>
    </xf>
    <xf numFmtId="3" fontId="2" fillId="0" borderId="0" xfId="1" applyNumberFormat="1"/>
    <xf numFmtId="0" fontId="2" fillId="0" borderId="0" xfId="1" applyAlignment="1">
      <alignment horizontal="right"/>
    </xf>
    <xf numFmtId="167" fontId="0" fillId="0" borderId="0" xfId="4" applyNumberFormat="1" applyFont="1"/>
    <xf numFmtId="3" fontId="29" fillId="0" borderId="0" xfId="1" applyNumberFormat="1" applyFont="1"/>
    <xf numFmtId="0" fontId="2" fillId="18" borderId="1" xfId="1" applyFont="1" applyFill="1" applyBorder="1" applyAlignment="1">
      <alignment horizontal="left"/>
    </xf>
    <xf numFmtId="41" fontId="12" fillId="8" borderId="25" xfId="11" applyFont="1" applyFill="1" applyBorder="1" applyAlignment="1">
      <alignment wrapText="1"/>
    </xf>
    <xf numFmtId="41" fontId="4" fillId="13" borderId="5" xfId="11" applyFont="1" applyFill="1" applyBorder="1" applyAlignment="1">
      <alignment horizontal="center" wrapText="1"/>
    </xf>
    <xf numFmtId="41" fontId="6" fillId="12" borderId="1" xfId="11" applyFont="1" applyFill="1" applyBorder="1"/>
    <xf numFmtId="41" fontId="4" fillId="12" borderId="1" xfId="11" applyFont="1" applyFill="1" applyBorder="1"/>
    <xf numFmtId="41" fontId="2" fillId="0" borderId="1" xfId="11" applyFont="1" applyFill="1" applyBorder="1"/>
    <xf numFmtId="41" fontId="2" fillId="3" borderId="1" xfId="11" applyFont="1" applyFill="1" applyBorder="1"/>
    <xf numFmtId="41" fontId="20" fillId="12" borderId="1" xfId="11" applyFont="1" applyFill="1" applyBorder="1" applyAlignment="1">
      <alignment horizontal="right" vertical="center"/>
    </xf>
    <xf numFmtId="41" fontId="4" fillId="0" borderId="1" xfId="11" applyFont="1" applyBorder="1"/>
    <xf numFmtId="41" fontId="2" fillId="12" borderId="1" xfId="11" applyFont="1" applyFill="1" applyBorder="1"/>
    <xf numFmtId="41" fontId="13" fillId="13" borderId="1" xfId="11" applyFont="1" applyFill="1" applyBorder="1" applyAlignment="1">
      <alignment horizontal="right" vertical="center"/>
    </xf>
    <xf numFmtId="41" fontId="13" fillId="11" borderId="1" xfId="11" applyFont="1" applyFill="1" applyBorder="1" applyAlignment="1">
      <alignment vertical="center"/>
    </xf>
    <xf numFmtId="41" fontId="20" fillId="12" borderId="1" xfId="11" applyFont="1" applyFill="1" applyBorder="1" applyAlignment="1">
      <alignment horizontal="right"/>
    </xf>
    <xf numFmtId="41" fontId="2" fillId="3" borderId="0" xfId="11" applyFont="1" applyFill="1" applyBorder="1"/>
    <xf numFmtId="41" fontId="21" fillId="12" borderId="1" xfId="11" applyFont="1" applyFill="1" applyBorder="1" applyAlignment="1">
      <alignment horizontal="right" vertical="center"/>
    </xf>
    <xf numFmtId="41" fontId="13" fillId="11" borderId="1" xfId="11" applyFont="1" applyFill="1" applyBorder="1" applyAlignment="1">
      <alignment vertical="center" wrapText="1"/>
    </xf>
    <xf numFmtId="41" fontId="7" fillId="12" borderId="1" xfId="11" applyFont="1" applyFill="1" applyBorder="1"/>
    <xf numFmtId="41" fontId="6" fillId="11" borderId="1" xfId="11" applyFont="1" applyFill="1" applyBorder="1"/>
    <xf numFmtId="41" fontId="3" fillId="0" borderId="16" xfId="11" applyFont="1" applyBorder="1"/>
    <xf numFmtId="0" fontId="4" fillId="3" borderId="1" xfId="1" applyFont="1" applyFill="1" applyBorder="1"/>
    <xf numFmtId="0" fontId="2" fillId="0" borderId="16" xfId="5" applyFont="1" applyBorder="1"/>
    <xf numFmtId="41" fontId="15" fillId="0" borderId="16" xfId="11" applyFont="1" applyBorder="1"/>
    <xf numFmtId="3" fontId="15" fillId="9" borderId="16" xfId="1" applyNumberFormat="1" applyFont="1" applyFill="1" applyBorder="1" applyAlignment="1">
      <alignment horizontal="right"/>
    </xf>
    <xf numFmtId="3" fontId="2" fillId="10" borderId="16" xfId="1" applyNumberFormat="1" applyFont="1" applyFill="1" applyBorder="1" applyAlignment="1">
      <alignment horizontal="right"/>
    </xf>
    <xf numFmtId="0" fontId="2" fillId="18" borderId="0" xfId="5" applyFont="1" applyFill="1"/>
    <xf numFmtId="168" fontId="2" fillId="18" borderId="20" xfId="5" applyNumberFormat="1" applyFont="1" applyFill="1" applyBorder="1"/>
    <xf numFmtId="41" fontId="15" fillId="18" borderId="1" xfId="11" applyFont="1" applyFill="1" applyBorder="1"/>
    <xf numFmtId="3" fontId="15" fillId="18" borderId="1" xfId="1" applyNumberFormat="1" applyFont="1" applyFill="1" applyBorder="1" applyAlignment="1">
      <alignment horizontal="right"/>
    </xf>
    <xf numFmtId="3" fontId="2" fillId="18" borderId="1" xfId="1" applyNumberFormat="1" applyFont="1" applyFill="1" applyBorder="1" applyAlignment="1">
      <alignment horizontal="right"/>
    </xf>
    <xf numFmtId="3" fontId="2" fillId="18" borderId="1" xfId="5" applyNumberFormat="1" applyFont="1" applyFill="1" applyBorder="1" applyAlignment="1">
      <alignment horizontal="right" vertical="center"/>
    </xf>
    <xf numFmtId="41" fontId="2" fillId="18" borderId="1" xfId="11" applyFont="1" applyFill="1" applyBorder="1"/>
    <xf numFmtId="0" fontId="2" fillId="18" borderId="4" xfId="5" applyFont="1" applyFill="1" applyBorder="1"/>
    <xf numFmtId="0" fontId="2" fillId="18" borderId="1" xfId="5" applyFont="1" applyFill="1" applyBorder="1"/>
    <xf numFmtId="168" fontId="2" fillId="0" borderId="2" xfId="5" applyNumberFormat="1" applyFont="1" applyBorder="1"/>
    <xf numFmtId="41" fontId="0" fillId="0" borderId="19" xfId="12" applyFont="1" applyBorder="1"/>
    <xf numFmtId="0" fontId="2" fillId="0" borderId="0" xfId="5" applyFont="1" applyFill="1" applyAlignment="1">
      <alignment horizontal="left"/>
    </xf>
    <xf numFmtId="0" fontId="2" fillId="0" borderId="6" xfId="5" applyFont="1" applyFill="1" applyBorder="1"/>
    <xf numFmtId="0" fontId="2" fillId="0" borderId="7" xfId="5" applyFont="1" applyFill="1" applyBorder="1"/>
    <xf numFmtId="0" fontId="2" fillId="0" borderId="8" xfId="5" applyFont="1" applyFill="1" applyBorder="1"/>
    <xf numFmtId="0" fontId="4" fillId="0" borderId="6" xfId="5" applyFont="1" applyFill="1" applyBorder="1" applyAlignment="1">
      <alignment horizontal="center"/>
    </xf>
    <xf numFmtId="0" fontId="4" fillId="0" borderId="9" xfId="5" applyFont="1" applyFill="1" applyBorder="1" applyAlignment="1">
      <alignment horizontal="center"/>
    </xf>
    <xf numFmtId="0" fontId="4" fillId="0" borderId="7" xfId="5" applyFont="1" applyFill="1" applyBorder="1" applyAlignment="1">
      <alignment horizontal="center"/>
    </xf>
    <xf numFmtId="0" fontId="2" fillId="0" borderId="10" xfId="5" applyFont="1" applyFill="1" applyBorder="1"/>
    <xf numFmtId="0" fontId="4" fillId="0" borderId="10" xfId="5" applyFont="1" applyFill="1" applyBorder="1" applyAlignment="1">
      <alignment horizontal="center"/>
    </xf>
    <xf numFmtId="0" fontId="4" fillId="0" borderId="13" xfId="5" applyFont="1" applyFill="1" applyBorder="1" applyAlignment="1">
      <alignment horizontal="center"/>
    </xf>
    <xf numFmtId="0" fontId="4" fillId="0" borderId="11" xfId="5" applyFont="1" applyFill="1" applyBorder="1"/>
    <xf numFmtId="0" fontId="4" fillId="0" borderId="11" xfId="5" applyFont="1" applyFill="1" applyBorder="1" applyAlignment="1">
      <alignment horizontal="center"/>
    </xf>
    <xf numFmtId="0" fontId="2" fillId="0" borderId="13" xfId="5" applyFont="1" applyFill="1" applyBorder="1"/>
    <xf numFmtId="0" fontId="2" fillId="0" borderId="11" xfId="5" applyFont="1" applyFill="1" applyBorder="1"/>
    <xf numFmtId="0" fontId="2" fillId="0" borderId="18" xfId="5" applyFont="1" applyFill="1" applyBorder="1"/>
    <xf numFmtId="3" fontId="2" fillId="0" borderId="0" xfId="5" applyNumberFormat="1" applyFont="1" applyFill="1" applyBorder="1"/>
    <xf numFmtId="3" fontId="2" fillId="0" borderId="18" xfId="5" applyNumberFormat="1" applyFont="1" applyFill="1" applyBorder="1"/>
    <xf numFmtId="3" fontId="2" fillId="0" borderId="19" xfId="5" applyNumberFormat="1" applyFont="1" applyFill="1" applyBorder="1"/>
    <xf numFmtId="0" fontId="2" fillId="0" borderId="20" xfId="5" applyFont="1" applyFill="1" applyBorder="1"/>
    <xf numFmtId="4" fontId="4" fillId="0" borderId="4" xfId="5" applyNumberFormat="1" applyFont="1" applyFill="1" applyBorder="1"/>
    <xf numFmtId="3" fontId="2" fillId="0" borderId="20" xfId="5" applyNumberFormat="1" applyFont="1" applyFill="1" applyBorder="1"/>
    <xf numFmtId="3" fontId="2" fillId="0" borderId="1" xfId="5" applyNumberFormat="1" applyFont="1" applyFill="1" applyBorder="1"/>
    <xf numFmtId="4" fontId="2" fillId="0" borderId="1" xfId="5" applyNumberFormat="1" applyFont="1" applyFill="1" applyBorder="1"/>
    <xf numFmtId="4" fontId="2" fillId="0" borderId="15" xfId="5" applyNumberFormat="1" applyFont="1" applyFill="1" applyBorder="1"/>
    <xf numFmtId="3" fontId="4" fillId="0" borderId="4" xfId="5" applyNumberFormat="1" applyFont="1" applyFill="1" applyBorder="1"/>
    <xf numFmtId="4" fontId="2" fillId="0" borderId="1" xfId="5" applyNumberFormat="1" applyFont="1" applyFill="1" applyBorder="1" applyAlignment="1">
      <alignment horizontal="right"/>
    </xf>
    <xf numFmtId="3" fontId="2" fillId="0" borderId="15" xfId="5" applyNumberFormat="1" applyFont="1" applyFill="1" applyBorder="1"/>
    <xf numFmtId="0" fontId="4" fillId="0" borderId="20" xfId="5" applyFont="1" applyFill="1" applyBorder="1"/>
    <xf numFmtId="3" fontId="4" fillId="0" borderId="1" xfId="5" applyNumberFormat="1" applyFont="1" applyFill="1" applyBorder="1"/>
    <xf numFmtId="4" fontId="4" fillId="0" borderId="1" xfId="5" applyNumberFormat="1" applyFont="1" applyFill="1" applyBorder="1"/>
    <xf numFmtId="4" fontId="4" fillId="0" borderId="15" xfId="5" applyNumberFormat="1" applyFont="1" applyFill="1" applyBorder="1"/>
    <xf numFmtId="3" fontId="4" fillId="0" borderId="11" xfId="5" applyNumberFormat="1" applyFont="1" applyFill="1" applyBorder="1"/>
    <xf numFmtId="3" fontId="2" fillId="0" borderId="10" xfId="5" applyNumberFormat="1" applyFont="1" applyFill="1" applyBorder="1"/>
    <xf numFmtId="3" fontId="2" fillId="0" borderId="11" xfId="5" applyNumberFormat="1" applyFont="1" applyFill="1" applyBorder="1"/>
    <xf numFmtId="3" fontId="2" fillId="0" borderId="12" xfId="5" applyNumberFormat="1" applyFont="1" applyFill="1" applyBorder="1"/>
    <xf numFmtId="0" fontId="4" fillId="0" borderId="18" xfId="5" applyFont="1" applyFill="1" applyBorder="1" applyAlignment="1">
      <alignment horizontal="centerContinuous"/>
    </xf>
    <xf numFmtId="3" fontId="4" fillId="0" borderId="0" xfId="5" applyNumberFormat="1" applyFont="1" applyFill="1" applyBorder="1" applyAlignment="1">
      <alignment horizontal="centerContinuous"/>
    </xf>
    <xf numFmtId="3" fontId="4" fillId="0" borderId="18" xfId="5" applyNumberFormat="1" applyFont="1" applyFill="1" applyBorder="1" applyAlignment="1">
      <alignment horizontal="centerContinuous"/>
    </xf>
    <xf numFmtId="0" fontId="4" fillId="0" borderId="0" xfId="5" applyFont="1" applyFill="1" applyBorder="1" applyAlignment="1">
      <alignment horizontal="centerContinuous"/>
    </xf>
    <xf numFmtId="3" fontId="4" fillId="0" borderId="19" xfId="5" applyNumberFormat="1" applyFont="1" applyFill="1" applyBorder="1" applyAlignment="1">
      <alignment horizontal="centerContinuous"/>
    </xf>
    <xf numFmtId="3" fontId="4" fillId="0" borderId="0" xfId="5" applyNumberFormat="1" applyFont="1" applyFill="1" applyBorder="1" applyAlignment="1">
      <alignment horizontal="centerContinuous" wrapText="1"/>
    </xf>
    <xf numFmtId="0" fontId="2" fillId="0" borderId="0" xfId="5" applyFont="1" applyFill="1" applyBorder="1"/>
    <xf numFmtId="3" fontId="4" fillId="0" borderId="6" xfId="5" applyNumberFormat="1" applyFont="1" applyFill="1" applyBorder="1" applyAlignment="1">
      <alignment horizontal="center"/>
    </xf>
    <xf numFmtId="3" fontId="4" fillId="0" borderId="9" xfId="5" applyNumberFormat="1" applyFont="1" applyFill="1" applyBorder="1" applyAlignment="1">
      <alignment horizontal="center"/>
    </xf>
    <xf numFmtId="3" fontId="4" fillId="0" borderId="7" xfId="5" applyNumberFormat="1" applyFont="1" applyFill="1" applyBorder="1" applyAlignment="1">
      <alignment horizontal="center"/>
    </xf>
    <xf numFmtId="3" fontId="4" fillId="0" borderId="8" xfId="5" applyNumberFormat="1" applyFont="1" applyFill="1" applyBorder="1" applyAlignment="1">
      <alignment horizontal="center"/>
    </xf>
    <xf numFmtId="3" fontId="4" fillId="0" borderId="10" xfId="5" applyNumberFormat="1" applyFont="1" applyFill="1" applyBorder="1" applyAlignment="1">
      <alignment horizontal="center"/>
    </xf>
    <xf numFmtId="3" fontId="4" fillId="0" borderId="13" xfId="5" applyNumberFormat="1" applyFont="1" applyFill="1" applyBorder="1" applyAlignment="1">
      <alignment horizontal="center"/>
    </xf>
    <xf numFmtId="3" fontId="2" fillId="0" borderId="13" xfId="5" applyNumberFormat="1" applyFont="1" applyFill="1" applyBorder="1"/>
    <xf numFmtId="3" fontId="4" fillId="0" borderId="11" xfId="5" applyNumberFormat="1" applyFont="1" applyFill="1" applyBorder="1" applyAlignment="1">
      <alignment horizontal="center"/>
    </xf>
    <xf numFmtId="0" fontId="4" fillId="0" borderId="20" xfId="1" applyFont="1" applyFill="1" applyBorder="1" applyAlignment="1">
      <alignment horizontal="left" vertical="center"/>
    </xf>
    <xf numFmtId="0" fontId="4" fillId="0" borderId="21" xfId="5" applyFont="1" applyFill="1" applyBorder="1"/>
    <xf numFmtId="3" fontId="4" fillId="0" borderId="22" xfId="5" applyNumberFormat="1" applyFont="1" applyFill="1" applyBorder="1" applyAlignment="1">
      <alignment horizontal="right" vertical="center"/>
    </xf>
    <xf numFmtId="3" fontId="16" fillId="0" borderId="2" xfId="5" applyNumberFormat="1" applyFont="1" applyFill="1" applyBorder="1" applyAlignment="1">
      <alignment horizontal="right" vertical="center"/>
    </xf>
    <xf numFmtId="3" fontId="4" fillId="0" borderId="1" xfId="5" applyNumberFormat="1" applyFont="1" applyFill="1" applyBorder="1" applyAlignment="1">
      <alignment horizontal="right" vertical="center"/>
    </xf>
    <xf numFmtId="3" fontId="17" fillId="0" borderId="1" xfId="5" applyNumberFormat="1" applyFont="1" applyFill="1" applyBorder="1" applyAlignment="1">
      <alignment horizontal="right" vertical="center"/>
    </xf>
    <xf numFmtId="0" fontId="2" fillId="0" borderId="20" xfId="1" applyFont="1" applyFill="1" applyBorder="1" applyAlignment="1">
      <alignment horizontal="left"/>
    </xf>
    <xf numFmtId="41" fontId="0" fillId="0" borderId="1" xfId="12" applyFont="1" applyFill="1" applyBorder="1"/>
    <xf numFmtId="3" fontId="15" fillId="0" borderId="2" xfId="5" applyNumberFormat="1" applyFont="1" applyFill="1" applyBorder="1" applyAlignment="1">
      <alignment horizontal="right" vertical="center"/>
    </xf>
    <xf numFmtId="167" fontId="2" fillId="0" borderId="1" xfId="2" applyNumberFormat="1" applyFont="1" applyFill="1" applyBorder="1"/>
    <xf numFmtId="3" fontId="2" fillId="0" borderId="15" xfId="5" applyNumberFormat="1" applyFont="1" applyFill="1" applyBorder="1" applyAlignment="1">
      <alignment horizontal="right" vertical="center"/>
    </xf>
    <xf numFmtId="167" fontId="8" fillId="0" borderId="1" xfId="2" applyNumberFormat="1" applyFont="1" applyFill="1" applyBorder="1"/>
    <xf numFmtId="167" fontId="8" fillId="0" borderId="1" xfId="4" applyNumberFormat="1" applyFont="1" applyFill="1" applyBorder="1"/>
    <xf numFmtId="167" fontId="8" fillId="0" borderId="14" xfId="4" applyNumberFormat="1" applyFont="1" applyFill="1" applyBorder="1"/>
    <xf numFmtId="41" fontId="4" fillId="0" borderId="21" xfId="11" applyFont="1" applyFill="1" applyBorder="1"/>
    <xf numFmtId="41" fontId="0" fillId="0" borderId="0" xfId="12" applyFont="1" applyFill="1"/>
    <xf numFmtId="41" fontId="15" fillId="0" borderId="15" xfId="11" applyFont="1" applyFill="1" applyBorder="1"/>
    <xf numFmtId="3" fontId="4" fillId="0" borderId="15" xfId="5" applyNumberFormat="1" applyFont="1" applyFill="1" applyBorder="1" applyAlignment="1">
      <alignment horizontal="right" vertical="center"/>
    </xf>
    <xf numFmtId="41" fontId="0" fillId="0" borderId="15" xfId="12" applyFont="1" applyFill="1" applyBorder="1"/>
    <xf numFmtId="3" fontId="15" fillId="0" borderId="1" xfId="1" applyNumberFormat="1" applyFont="1" applyFill="1" applyBorder="1" applyAlignment="1">
      <alignment horizontal="right"/>
    </xf>
    <xf numFmtId="0" fontId="4" fillId="0" borderId="20" xfId="1" applyFont="1" applyFill="1" applyBorder="1" applyAlignment="1">
      <alignment vertical="center"/>
    </xf>
    <xf numFmtId="41" fontId="4" fillId="0" borderId="20" xfId="1" applyNumberFormat="1" applyFont="1" applyFill="1" applyBorder="1" applyAlignment="1">
      <alignment vertical="center"/>
    </xf>
    <xf numFmtId="3" fontId="4" fillId="0" borderId="20" xfId="1" applyNumberFormat="1" applyFont="1" applyFill="1" applyBorder="1" applyAlignment="1">
      <alignment vertical="center"/>
    </xf>
    <xf numFmtId="41" fontId="4" fillId="0" borderId="20" xfId="11" applyFont="1" applyFill="1" applyBorder="1" applyAlignment="1">
      <alignment vertical="center"/>
    </xf>
    <xf numFmtId="167" fontId="8" fillId="0" borderId="16" xfId="2" applyNumberFormat="1" applyFont="1" applyFill="1" applyBorder="1"/>
    <xf numFmtId="0" fontId="0" fillId="0" borderId="1" xfId="1" applyFont="1" applyFill="1" applyBorder="1" applyAlignment="1">
      <alignment horizontal="left"/>
    </xf>
    <xf numFmtId="41" fontId="0" fillId="0" borderId="19" xfId="12" applyFont="1" applyFill="1" applyBorder="1"/>
    <xf numFmtId="167" fontId="9" fillId="0" borderId="1" xfId="2" applyNumberFormat="1" applyFont="1" applyFill="1" applyBorder="1"/>
    <xf numFmtId="0" fontId="2" fillId="0" borderId="20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/>
    </xf>
    <xf numFmtId="0" fontId="2" fillId="0" borderId="24" xfId="1" applyFont="1" applyFill="1" applyBorder="1" applyAlignment="1">
      <alignment horizontal="left"/>
    </xf>
    <xf numFmtId="41" fontId="0" fillId="0" borderId="31" xfId="12" applyFont="1" applyFill="1" applyBorder="1"/>
    <xf numFmtId="41" fontId="15" fillId="0" borderId="2" xfId="11" applyFont="1" applyFill="1" applyBorder="1" applyAlignment="1">
      <alignment horizontal="right" vertical="center"/>
    </xf>
    <xf numFmtId="41" fontId="2" fillId="0" borderId="1" xfId="11" applyFont="1" applyFill="1" applyBorder="1" applyAlignment="1">
      <alignment horizontal="right" vertical="center"/>
    </xf>
    <xf numFmtId="41" fontId="8" fillId="0" borderId="1" xfId="11" applyFont="1" applyFill="1" applyBorder="1" applyAlignment="1">
      <alignment horizontal="right" vertical="center"/>
    </xf>
    <xf numFmtId="0" fontId="2" fillId="0" borderId="0" xfId="5" applyFont="1" applyFill="1"/>
    <xf numFmtId="0" fontId="4" fillId="0" borderId="0" xfId="5" applyFont="1" applyFill="1" applyBorder="1"/>
    <xf numFmtId="0" fontId="2" fillId="0" borderId="19" xfId="5" applyFont="1" applyFill="1" applyBorder="1"/>
    <xf numFmtId="41" fontId="2" fillId="0" borderId="0" xfId="5" applyNumberFormat="1" applyFont="1" applyFill="1" applyBorder="1"/>
    <xf numFmtId="0" fontId="2" fillId="0" borderId="0" xfId="5" applyFont="1" applyFill="1" applyBorder="1" applyAlignment="1"/>
    <xf numFmtId="0" fontId="2" fillId="0" borderId="11" xfId="5" applyFont="1" applyFill="1" applyBorder="1" applyAlignment="1"/>
    <xf numFmtId="0" fontId="2" fillId="0" borderId="11" xfId="5" applyFont="1" applyFill="1" applyBorder="1" applyAlignment="1">
      <alignment horizontal="center"/>
    </xf>
    <xf numFmtId="0" fontId="2" fillId="0" borderId="12" xfId="5" applyFont="1" applyFill="1" applyBorder="1"/>
    <xf numFmtId="3" fontId="15" fillId="3" borderId="1" xfId="5" applyNumberFormat="1" applyFont="1" applyFill="1" applyBorder="1" applyAlignment="1">
      <alignment horizontal="right" vertical="center"/>
    </xf>
    <xf numFmtId="0" fontId="2" fillId="3" borderId="4" xfId="5" applyFont="1" applyFill="1" applyBorder="1"/>
    <xf numFmtId="41" fontId="13" fillId="11" borderId="1" xfId="5" applyNumberFormat="1" applyFont="1" applyFill="1" applyBorder="1"/>
    <xf numFmtId="17" fontId="2" fillId="0" borderId="1" xfId="5" applyNumberFormat="1" applyFont="1" applyBorder="1"/>
    <xf numFmtId="0" fontId="4" fillId="0" borderId="1" xfId="5" applyFont="1" applyBorder="1"/>
    <xf numFmtId="41" fontId="6" fillId="11" borderId="4" xfId="5" applyNumberFormat="1" applyFont="1" applyFill="1" applyBorder="1"/>
    <xf numFmtId="0" fontId="25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center"/>
    </xf>
    <xf numFmtId="167" fontId="5" fillId="0" borderId="4" xfId="4" applyNumberFormat="1" applyFont="1" applyBorder="1" applyAlignment="1">
      <alignment horizontal="right"/>
    </xf>
    <xf numFmtId="41" fontId="15" fillId="0" borderId="16" xfId="14" applyFont="1" applyBorder="1"/>
    <xf numFmtId="0" fontId="30" fillId="6" borderId="10" xfId="1" applyFont="1" applyFill="1" applyBorder="1" applyAlignment="1">
      <alignment horizontal="center"/>
    </xf>
    <xf numFmtId="0" fontId="30" fillId="6" borderId="10" xfId="1" applyFont="1" applyFill="1" applyBorder="1" applyAlignment="1">
      <alignment horizontal="center" wrapText="1"/>
    </xf>
    <xf numFmtId="0" fontId="30" fillId="6" borderId="13" xfId="1" applyFont="1" applyFill="1" applyBorder="1" applyAlignment="1">
      <alignment horizontal="center"/>
    </xf>
    <xf numFmtId="0" fontId="30" fillId="6" borderId="12" xfId="1" applyFont="1" applyFill="1" applyBorder="1"/>
    <xf numFmtId="0" fontId="30" fillId="6" borderId="8" xfId="1" applyFont="1" applyFill="1" applyBorder="1" applyAlignment="1">
      <alignment horizontal="center"/>
    </xf>
    <xf numFmtId="0" fontId="30" fillId="6" borderId="12" xfId="1" applyFont="1" applyFill="1" applyBorder="1" applyAlignment="1">
      <alignment horizontal="center"/>
    </xf>
    <xf numFmtId="0" fontId="31" fillId="6" borderId="13" xfId="1" applyFont="1" applyFill="1" applyBorder="1"/>
    <xf numFmtId="0" fontId="2" fillId="0" borderId="0" xfId="1" applyFont="1"/>
    <xf numFmtId="0" fontId="12" fillId="6" borderId="6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167" fontId="12" fillId="6" borderId="7" xfId="4" applyNumberFormat="1" applyFont="1" applyFill="1" applyBorder="1" applyAlignment="1">
      <alignment horizontal="center"/>
    </xf>
    <xf numFmtId="0" fontId="32" fillId="6" borderId="9" xfId="1" applyFont="1" applyFill="1" applyBorder="1" applyAlignment="1">
      <alignment horizontal="center"/>
    </xf>
    <xf numFmtId="0" fontId="10" fillId="0" borderId="0" xfId="1" applyFont="1"/>
    <xf numFmtId="0" fontId="12" fillId="6" borderId="7" xfId="1" applyFont="1" applyFill="1" applyBorder="1" applyAlignment="1">
      <alignment horizontal="center"/>
    </xf>
    <xf numFmtId="0" fontId="30" fillId="6" borderId="11" xfId="1" applyFont="1" applyFill="1" applyBorder="1" applyAlignment="1">
      <alignment horizontal="center"/>
    </xf>
    <xf numFmtId="0" fontId="30" fillId="6" borderId="1" xfId="1" applyFont="1" applyFill="1" applyBorder="1" applyAlignment="1">
      <alignment horizontal="right"/>
    </xf>
    <xf numFmtId="41" fontId="15" fillId="0" borderId="2" xfId="14" applyFont="1" applyBorder="1"/>
    <xf numFmtId="0" fontId="4" fillId="0" borderId="40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167" fontId="7" fillId="0" borderId="3" xfId="4" applyNumberFormat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169" fontId="7" fillId="0" borderId="5" xfId="15" applyNumberFormat="1" applyFont="1" applyBorder="1" applyAlignment="1">
      <alignment horizontal="center"/>
    </xf>
    <xf numFmtId="167" fontId="30" fillId="6" borderId="11" xfId="4" applyNumberFormat="1" applyFont="1" applyFill="1" applyBorder="1" applyAlignment="1">
      <alignment horizontal="center" wrapText="1"/>
    </xf>
    <xf numFmtId="0" fontId="30" fillId="6" borderId="9" xfId="1" applyFont="1" applyFill="1" applyBorder="1" applyAlignment="1">
      <alignment horizontal="center"/>
    </xf>
    <xf numFmtId="0" fontId="4" fillId="0" borderId="40" xfId="1" applyFont="1" applyBorder="1"/>
    <xf numFmtId="3" fontId="4" fillId="4" borderId="1" xfId="1" applyNumberFormat="1" applyFont="1" applyFill="1" applyBorder="1" applyAlignment="1">
      <alignment horizontal="right" vertical="center"/>
    </xf>
    <xf numFmtId="167" fontId="7" fillId="0" borderId="33" xfId="1" applyNumberFormat="1" applyFont="1" applyBorder="1" applyAlignment="1">
      <alignment horizontal="center"/>
    </xf>
    <xf numFmtId="0" fontId="30" fillId="6" borderId="13" xfId="1" applyFont="1" applyFill="1" applyBorder="1" applyAlignment="1">
      <alignment horizontal="center" wrapText="1"/>
    </xf>
    <xf numFmtId="167" fontId="6" fillId="4" borderId="4" xfId="4" applyNumberFormat="1" applyFont="1" applyFill="1" applyBorder="1" applyAlignment="1">
      <alignment horizontal="right" vertical="center"/>
    </xf>
    <xf numFmtId="9" fontId="6" fillId="4" borderId="41" xfId="1" applyNumberFormat="1" applyFont="1" applyFill="1" applyBorder="1" applyAlignment="1">
      <alignment horizontal="center" vertical="center"/>
    </xf>
    <xf numFmtId="168" fontId="2" fillId="3" borderId="2" xfId="5" applyNumberFormat="1" applyFont="1" applyFill="1" applyBorder="1"/>
    <xf numFmtId="43" fontId="2" fillId="0" borderId="0" xfId="15" applyFont="1"/>
    <xf numFmtId="43" fontId="2" fillId="0" borderId="0" xfId="1" applyNumberFormat="1"/>
    <xf numFmtId="0" fontId="12" fillId="6" borderId="6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33" fillId="0" borderId="0" xfId="0" applyFont="1"/>
    <xf numFmtId="0" fontId="33" fillId="0" borderId="1" xfId="0" applyFont="1" applyBorder="1"/>
    <xf numFmtId="169" fontId="33" fillId="0" borderId="0" xfId="15" applyNumberFormat="1" applyFont="1"/>
    <xf numFmtId="169" fontId="33" fillId="0" borderId="1" xfId="15" applyNumberFormat="1" applyFont="1" applyBorder="1"/>
    <xf numFmtId="0" fontId="7" fillId="0" borderId="40" xfId="1" applyFont="1" applyBorder="1"/>
    <xf numFmtId="3" fontId="5" fillId="0" borderId="33" xfId="1" applyNumberFormat="1" applyFont="1" applyBorder="1" applyAlignment="1">
      <alignment horizontal="right"/>
    </xf>
    <xf numFmtId="3" fontId="24" fillId="6" borderId="16" xfId="1" applyNumberFormat="1" applyFont="1" applyFill="1" applyBorder="1" applyAlignment="1">
      <alignment horizontal="right" vertical="center"/>
    </xf>
    <xf numFmtId="0" fontId="12" fillId="6" borderId="9" xfId="1" applyFont="1" applyFill="1" applyBorder="1" applyAlignment="1">
      <alignment horizontal="right"/>
    </xf>
    <xf numFmtId="0" fontId="12" fillId="6" borderId="8" xfId="1" applyFont="1" applyFill="1" applyBorder="1"/>
    <xf numFmtId="0" fontId="12" fillId="6" borderId="32" xfId="1" applyFont="1" applyFill="1" applyBorder="1" applyAlignment="1">
      <alignment horizontal="right"/>
    </xf>
    <xf numFmtId="0" fontId="12" fillId="6" borderId="12" xfId="1" applyFont="1" applyFill="1" applyBorder="1" applyAlignment="1">
      <alignment horizontal="right"/>
    </xf>
    <xf numFmtId="0" fontId="12" fillId="6" borderId="10" xfId="1" applyFont="1" applyFill="1" applyBorder="1" applyAlignment="1">
      <alignment horizontal="center"/>
    </xf>
    <xf numFmtId="0" fontId="12" fillId="6" borderId="13" xfId="1" applyFont="1" applyFill="1" applyBorder="1" applyAlignment="1">
      <alignment horizontal="center"/>
    </xf>
    <xf numFmtId="0" fontId="12" fillId="6" borderId="12" xfId="1" applyFont="1" applyFill="1" applyBorder="1"/>
    <xf numFmtId="0" fontId="12" fillId="6" borderId="12" xfId="1" applyFont="1" applyFill="1" applyBorder="1" applyAlignment="1">
      <alignment horizontal="center"/>
    </xf>
    <xf numFmtId="167" fontId="12" fillId="6" borderId="11" xfId="4" applyNumberFormat="1" applyFont="1" applyFill="1" applyBorder="1" applyAlignment="1">
      <alignment horizontal="center"/>
    </xf>
    <xf numFmtId="0" fontId="32" fillId="6" borderId="13" xfId="1" applyFont="1" applyFill="1" applyBorder="1"/>
    <xf numFmtId="3" fontId="6" fillId="3" borderId="1" xfId="1" applyNumberFormat="1" applyFont="1" applyFill="1" applyBorder="1" applyAlignment="1">
      <alignment horizontal="right" vertical="center"/>
    </xf>
    <xf numFmtId="3" fontId="5" fillId="3" borderId="4" xfId="1" applyNumberFormat="1" applyFont="1" applyFill="1" applyBorder="1" applyAlignment="1">
      <alignment horizontal="right"/>
    </xf>
    <xf numFmtId="9" fontId="7" fillId="3" borderId="33" xfId="1" applyNumberFormat="1" applyFont="1" applyFill="1" applyBorder="1" applyAlignment="1">
      <alignment horizontal="center"/>
    </xf>
    <xf numFmtId="166" fontId="6" fillId="3" borderId="1" xfId="1" applyNumberFormat="1" applyFont="1" applyFill="1" applyBorder="1" applyAlignment="1">
      <alignment vertical="center"/>
    </xf>
    <xf numFmtId="167" fontId="6" fillId="4" borderId="1" xfId="1" applyNumberFormat="1" applyFont="1" applyFill="1" applyBorder="1" applyAlignment="1">
      <alignment vertical="center"/>
    </xf>
    <xf numFmtId="3" fontId="10" fillId="3" borderId="4" xfId="1" applyNumberFormat="1" applyFont="1" applyFill="1" applyBorder="1" applyAlignment="1">
      <alignment horizontal="right" vertical="center"/>
    </xf>
    <xf numFmtId="169" fontId="34" fillId="0" borderId="1" xfId="6" applyNumberFormat="1" applyFont="1" applyBorder="1"/>
    <xf numFmtId="169" fontId="35" fillId="0" borderId="1" xfId="6" applyNumberFormat="1" applyFont="1" applyBorder="1"/>
    <xf numFmtId="169" fontId="2" fillId="0" borderId="1" xfId="6" applyNumberFormat="1" applyFont="1" applyBorder="1"/>
    <xf numFmtId="0" fontId="2" fillId="9" borderId="1" xfId="1" applyFont="1" applyFill="1" applyBorder="1" applyAlignment="1">
      <alignment horizontal="left"/>
    </xf>
    <xf numFmtId="0" fontId="2" fillId="14" borderId="1" xfId="1" applyFont="1" applyFill="1" applyBorder="1" applyAlignment="1">
      <alignment horizontal="left"/>
    </xf>
    <xf numFmtId="0" fontId="4" fillId="19" borderId="1" xfId="1" applyFont="1" applyFill="1" applyBorder="1" applyAlignment="1">
      <alignment horizontal="left"/>
    </xf>
    <xf numFmtId="0" fontId="4" fillId="7" borderId="42" xfId="5" applyFont="1" applyFill="1" applyBorder="1"/>
    <xf numFmtId="0" fontId="4" fillId="7" borderId="2" xfId="5" applyFont="1" applyFill="1" applyBorder="1"/>
    <xf numFmtId="0" fontId="4" fillId="4" borderId="2" xfId="1" applyFont="1" applyFill="1" applyBorder="1" applyAlignment="1">
      <alignment vertical="center"/>
    </xf>
    <xf numFmtId="0" fontId="2" fillId="0" borderId="43" xfId="1" applyFont="1" applyBorder="1" applyAlignment="1">
      <alignment horizontal="left"/>
    </xf>
    <xf numFmtId="0" fontId="2" fillId="7" borderId="1" xfId="5" applyFont="1" applyFill="1" applyBorder="1" applyAlignment="1">
      <alignment horizontal="left"/>
    </xf>
    <xf numFmtId="0" fontId="4" fillId="4" borderId="1" xfId="1" applyFont="1" applyFill="1" applyBorder="1" applyAlignment="1">
      <alignment horizontal="right" vertical="center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right" vertical="center"/>
    </xf>
    <xf numFmtId="41" fontId="15" fillId="0" borderId="1" xfId="12" applyFont="1" applyBorder="1"/>
    <xf numFmtId="41" fontId="15" fillId="0" borderId="0" xfId="12" applyFont="1"/>
    <xf numFmtId="41" fontId="15" fillId="0" borderId="15" xfId="12" applyFont="1" applyBorder="1"/>
    <xf numFmtId="0" fontId="15" fillId="0" borderId="2" xfId="1" applyFont="1" applyBorder="1" applyAlignment="1">
      <alignment horizontal="left"/>
    </xf>
    <xf numFmtId="41" fontId="15" fillId="0" borderId="19" xfId="12" applyFont="1" applyBorder="1"/>
    <xf numFmtId="41" fontId="15" fillId="0" borderId="31" xfId="12" applyFont="1" applyBorder="1"/>
    <xf numFmtId="0" fontId="4" fillId="0" borderId="0" xfId="5" applyFont="1" applyFill="1" applyAlignment="1">
      <alignment horizontal="left"/>
    </xf>
    <xf numFmtId="3" fontId="4" fillId="11" borderId="20" xfId="5" applyNumberFormat="1" applyFont="1" applyFill="1" applyBorder="1"/>
    <xf numFmtId="3" fontId="4" fillId="0" borderId="0" xfId="5" applyNumberFormat="1" applyFont="1"/>
    <xf numFmtId="0" fontId="31" fillId="0" borderId="0" xfId="5" applyFont="1"/>
    <xf numFmtId="0" fontId="31" fillId="0" borderId="0" xfId="5" applyFont="1" applyBorder="1"/>
    <xf numFmtId="3" fontId="31" fillId="0" borderId="0" xfId="5" applyNumberFormat="1" applyFont="1"/>
    <xf numFmtId="0" fontId="30" fillId="0" borderId="0" xfId="5" applyFont="1"/>
    <xf numFmtId="0" fontId="36" fillId="0" borderId="34" xfId="1" applyFont="1" applyFill="1" applyBorder="1" applyAlignment="1">
      <alignment horizontal="left" vertical="center" wrapText="1"/>
    </xf>
    <xf numFmtId="0" fontId="36" fillId="0" borderId="2" xfId="1" applyFont="1" applyFill="1" applyBorder="1" applyAlignment="1">
      <alignment horizontal="left" vertical="center" wrapText="1"/>
    </xf>
    <xf numFmtId="0" fontId="36" fillId="0" borderId="2" xfId="1" applyFont="1" applyFill="1" applyBorder="1" applyAlignment="1">
      <alignment horizontal="left" vertical="center"/>
    </xf>
    <xf numFmtId="0" fontId="12" fillId="6" borderId="6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25" fillId="2" borderId="0" xfId="1" applyFont="1" applyFill="1" applyAlignment="1">
      <alignment vertical="center"/>
    </xf>
    <xf numFmtId="0" fontId="25" fillId="2" borderId="0" xfId="1" applyFont="1" applyFill="1" applyAlignment="1"/>
    <xf numFmtId="0" fontId="12" fillId="6" borderId="6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right" wrapText="1"/>
    </xf>
    <xf numFmtId="41" fontId="2" fillId="20" borderId="1" xfId="11" applyFont="1" applyFill="1" applyBorder="1"/>
    <xf numFmtId="41" fontId="37" fillId="20" borderId="0" xfId="5" applyNumberFormat="1" applyFont="1" applyFill="1"/>
    <xf numFmtId="0" fontId="4" fillId="18" borderId="4" xfId="5" applyFont="1" applyFill="1" applyBorder="1"/>
    <xf numFmtId="0" fontId="4" fillId="18" borderId="1" xfId="5" applyFont="1" applyFill="1" applyBorder="1"/>
    <xf numFmtId="0" fontId="4" fillId="18" borderId="0" xfId="5" applyFont="1" applyFill="1"/>
    <xf numFmtId="41" fontId="2" fillId="20" borderId="0" xfId="11" applyFont="1" applyFill="1" applyBorder="1"/>
    <xf numFmtId="169" fontId="2" fillId="18" borderId="0" xfId="15" applyNumberFormat="1" applyFont="1" applyFill="1"/>
    <xf numFmtId="41" fontId="2" fillId="20" borderId="0" xfId="11" applyFont="1" applyFill="1"/>
    <xf numFmtId="41" fontId="2" fillId="20" borderId="16" xfId="11" applyFont="1" applyFill="1" applyBorder="1"/>
    <xf numFmtId="3" fontId="37" fillId="18" borderId="4" xfId="5" applyNumberFormat="1" applyFont="1" applyFill="1" applyBorder="1"/>
    <xf numFmtId="0" fontId="37" fillId="18" borderId="1" xfId="5" applyFont="1" applyFill="1" applyBorder="1"/>
    <xf numFmtId="41" fontId="37" fillId="18" borderId="0" xfId="5" applyNumberFormat="1" applyFont="1" applyFill="1"/>
    <xf numFmtId="169" fontId="37" fillId="18" borderId="0" xfId="15" applyNumberFormat="1" applyFont="1" applyFill="1"/>
    <xf numFmtId="41" fontId="37" fillId="0" borderId="0" xfId="5" applyNumberFormat="1" applyFont="1"/>
    <xf numFmtId="41" fontId="2" fillId="21" borderId="1" xfId="11" applyFont="1" applyFill="1" applyBorder="1"/>
    <xf numFmtId="41" fontId="2" fillId="21" borderId="0" xfId="11" applyFont="1" applyFill="1"/>
    <xf numFmtId="169" fontId="4" fillId="18" borderId="0" xfId="15" applyNumberFormat="1" applyFont="1" applyFill="1"/>
    <xf numFmtId="169" fontId="2" fillId="0" borderId="0" xfId="15" applyNumberFormat="1" applyFont="1"/>
    <xf numFmtId="41" fontId="37" fillId="3" borderId="0" xfId="5" applyNumberFormat="1" applyFont="1" applyFill="1"/>
    <xf numFmtId="3" fontId="2" fillId="18" borderId="4" xfId="5" applyNumberFormat="1" applyFont="1" applyFill="1" applyBorder="1"/>
    <xf numFmtId="170" fontId="37" fillId="18" borderId="0" xfId="16" applyNumberFormat="1" applyFont="1" applyFill="1"/>
    <xf numFmtId="170" fontId="2" fillId="0" borderId="0" xfId="16" applyNumberFormat="1" applyFont="1"/>
    <xf numFmtId="170" fontId="2" fillId="18" borderId="0" xfId="16" applyNumberFormat="1" applyFont="1" applyFill="1"/>
    <xf numFmtId="0" fontId="38" fillId="18" borderId="0" xfId="5" applyFont="1" applyFill="1"/>
    <xf numFmtId="170" fontId="37" fillId="3" borderId="0" xfId="16" applyNumberFormat="1" applyFont="1" applyFill="1"/>
    <xf numFmtId="3" fontId="2" fillId="3" borderId="4" xfId="5" applyNumberFormat="1" applyFont="1" applyFill="1" applyBorder="1"/>
    <xf numFmtId="170" fontId="2" fillId="3" borderId="0" xfId="16" applyNumberFormat="1" applyFont="1" applyFill="1" applyAlignment="1">
      <alignment horizontal="left" indent="4"/>
    </xf>
    <xf numFmtId="0" fontId="12" fillId="6" borderId="6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41" fontId="2" fillId="22" borderId="1" xfId="11" applyFont="1" applyFill="1" applyBorder="1"/>
    <xf numFmtId="41" fontId="4" fillId="22" borderId="1" xfId="11" applyFont="1" applyFill="1" applyBorder="1"/>
    <xf numFmtId="0" fontId="2" fillId="18" borderId="20" xfId="5" applyFont="1" applyFill="1" applyBorder="1"/>
    <xf numFmtId="3" fontId="15" fillId="18" borderId="1" xfId="5" applyNumberFormat="1" applyFont="1" applyFill="1" applyBorder="1" applyAlignment="1">
      <alignment horizontal="right" vertical="center"/>
    </xf>
    <xf numFmtId="0" fontId="2" fillId="18" borderId="1" xfId="1" applyFont="1" applyFill="1" applyBorder="1"/>
    <xf numFmtId="167" fontId="2" fillId="18" borderId="1" xfId="2" applyNumberFormat="1" applyFont="1" applyFill="1" applyBorder="1"/>
    <xf numFmtId="0" fontId="36" fillId="18" borderId="2" xfId="1" applyFont="1" applyFill="1" applyBorder="1" applyAlignment="1">
      <alignment horizontal="left" vertical="center"/>
    </xf>
    <xf numFmtId="0" fontId="12" fillId="6" borderId="6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12" fillId="6" borderId="6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4" fillId="0" borderId="18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4" fillId="0" borderId="19" xfId="5" applyFont="1" applyFill="1" applyBorder="1" applyAlignment="1">
      <alignment horizontal="center"/>
    </xf>
    <xf numFmtId="0" fontId="4" fillId="0" borderId="10" xfId="5" applyFont="1" applyFill="1" applyBorder="1" applyAlignment="1">
      <alignment horizontal="center"/>
    </xf>
    <xf numFmtId="0" fontId="4" fillId="0" borderId="11" xfId="5" applyFont="1" applyFill="1" applyBorder="1" applyAlignment="1">
      <alignment horizontal="center"/>
    </xf>
    <xf numFmtId="0" fontId="4" fillId="0" borderId="12" xfId="5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4" fillId="0" borderId="18" xfId="5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4" fillId="0" borderId="19" xfId="5" applyFont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4" fillId="0" borderId="11" xfId="5" applyFont="1" applyBorder="1" applyAlignment="1">
      <alignment horizontal="center"/>
    </xf>
    <xf numFmtId="0" fontId="4" fillId="0" borderId="12" xfId="5" applyFont="1" applyBorder="1" applyAlignment="1">
      <alignment horizontal="center"/>
    </xf>
    <xf numFmtId="0" fontId="4" fillId="7" borderId="16" xfId="5" applyFont="1" applyFill="1" applyBorder="1" applyAlignment="1">
      <alignment horizontal="center" wrapText="1"/>
    </xf>
    <xf numFmtId="0" fontId="4" fillId="7" borderId="5" xfId="5" applyFont="1" applyFill="1" applyBorder="1" applyAlignment="1">
      <alignment horizontal="center" wrapText="1"/>
    </xf>
    <xf numFmtId="0" fontId="4" fillId="7" borderId="44" xfId="5" applyFont="1" applyFill="1" applyBorder="1" applyAlignment="1">
      <alignment horizontal="center" vertical="center"/>
    </xf>
    <xf numFmtId="0" fontId="4" fillId="7" borderId="45" xfId="5" applyFont="1" applyFill="1" applyBorder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center"/>
    </xf>
    <xf numFmtId="0" fontId="12" fillId="6" borderId="16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left" wrapText="1"/>
    </xf>
    <xf numFmtId="0" fontId="7" fillId="0" borderId="41" xfId="1" applyFont="1" applyFill="1" applyBorder="1" applyAlignment="1">
      <alignment horizontal="left" wrapText="1"/>
    </xf>
    <xf numFmtId="0" fontId="7" fillId="0" borderId="2" xfId="1" applyFont="1" applyFill="1" applyBorder="1" applyAlignment="1">
      <alignment horizontal="left" wrapText="1"/>
    </xf>
    <xf numFmtId="0" fontId="7" fillId="0" borderId="37" xfId="1" applyFont="1" applyFill="1" applyBorder="1" applyAlignment="1">
      <alignment horizontal="center"/>
    </xf>
    <xf numFmtId="0" fontId="7" fillId="0" borderId="38" xfId="1" applyFont="1" applyFill="1" applyBorder="1" applyAlignment="1">
      <alignment horizontal="center"/>
    </xf>
    <xf numFmtId="0" fontId="7" fillId="0" borderId="39" xfId="1" applyFont="1" applyFill="1" applyBorder="1" applyAlignment="1">
      <alignment horizontal="center"/>
    </xf>
    <xf numFmtId="0" fontId="11" fillId="6" borderId="16" xfId="1" applyFont="1" applyFill="1" applyBorder="1" applyAlignment="1">
      <alignment horizontal="center"/>
    </xf>
    <xf numFmtId="0" fontId="11" fillId="6" borderId="5" xfId="1" applyFont="1" applyFill="1" applyBorder="1" applyAlignment="1">
      <alignment horizontal="center"/>
    </xf>
    <xf numFmtId="0" fontId="7" fillId="0" borderId="37" xfId="1" applyFont="1" applyFill="1" applyBorder="1" applyAlignment="1">
      <alignment horizontal="right"/>
    </xf>
    <xf numFmtId="0" fontId="7" fillId="0" borderId="38" xfId="1" applyFont="1" applyFill="1" applyBorder="1" applyAlignment="1">
      <alignment horizontal="right"/>
    </xf>
    <xf numFmtId="0" fontId="7" fillId="0" borderId="39" xfId="1" applyFont="1" applyFill="1" applyBorder="1" applyAlignment="1">
      <alignment horizontal="right"/>
    </xf>
    <xf numFmtId="0" fontId="7" fillId="0" borderId="18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0" fontId="30" fillId="6" borderId="6" xfId="1" applyFont="1" applyFill="1" applyBorder="1" applyAlignment="1">
      <alignment horizontal="center"/>
    </xf>
    <xf numFmtId="0" fontId="30" fillId="6" borderId="7" xfId="1" applyFont="1" applyFill="1" applyBorder="1" applyAlignment="1">
      <alignment horizontal="center"/>
    </xf>
    <xf numFmtId="0" fontId="30" fillId="6" borderId="8" xfId="1" applyFont="1" applyFill="1" applyBorder="1" applyAlignment="1">
      <alignment horizontal="center"/>
    </xf>
    <xf numFmtId="0" fontId="12" fillId="6" borderId="6" xfId="1" applyFont="1" applyFill="1" applyBorder="1" applyAlignment="1">
      <alignment horizontal="center"/>
    </xf>
    <xf numFmtId="0" fontId="12" fillId="6" borderId="7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12" fillId="6" borderId="1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 wrapText="1"/>
    </xf>
    <xf numFmtId="0" fontId="12" fillId="6" borderId="13" xfId="1" applyFont="1" applyFill="1" applyBorder="1" applyAlignment="1">
      <alignment horizontal="center" wrapText="1"/>
    </xf>
  </cellXfs>
  <cellStyles count="17">
    <cellStyle name="Millares" xfId="15" builtinId="3"/>
    <cellStyle name="Millares [0]" xfId="11" builtinId="6"/>
    <cellStyle name="Millares [0] 2" xfId="12"/>
    <cellStyle name="Millares [0] 3" xfId="14"/>
    <cellStyle name="Millares 2" xfId="2"/>
    <cellStyle name="Millares 2 2" xfId="10"/>
    <cellStyle name="Millares 3" xfId="4"/>
    <cellStyle name="Millares 4" xfId="6"/>
    <cellStyle name="Millares 4 2" xfId="8"/>
    <cellStyle name="Moneda" xfId="16" builtinId="4"/>
    <cellStyle name="Moneda [0] 2" xfId="13"/>
    <cellStyle name="Normal" xfId="0" builtinId="0"/>
    <cellStyle name="Normal 2" xfId="1"/>
    <cellStyle name="Normal 3" xfId="5"/>
    <cellStyle name="Normal 3 2" xfId="9"/>
    <cellStyle name="Normal 4" xfId="7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452439</xdr:colOff>
      <xdr:row>0</xdr:row>
      <xdr:rowOff>59531</xdr:rowOff>
    </xdr:from>
    <xdr:to>
      <xdr:col>1</xdr:col>
      <xdr:colOff>95250</xdr:colOff>
      <xdr:row>3</xdr:row>
      <xdr:rowOff>202406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452439" y="59531"/>
          <a:ext cx="857249" cy="8215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15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214314</xdr:colOff>
      <xdr:row>0</xdr:row>
      <xdr:rowOff>47625</xdr:rowOff>
    </xdr:from>
    <xdr:to>
      <xdr:col>0</xdr:col>
      <xdr:colOff>1071563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214314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214314</xdr:colOff>
      <xdr:row>0</xdr:row>
      <xdr:rowOff>47625</xdr:rowOff>
    </xdr:from>
    <xdr:to>
      <xdr:col>0</xdr:col>
      <xdr:colOff>1071563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214314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214314</xdr:colOff>
      <xdr:row>0</xdr:row>
      <xdr:rowOff>47625</xdr:rowOff>
    </xdr:from>
    <xdr:to>
      <xdr:col>0</xdr:col>
      <xdr:colOff>1071563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214314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214314</xdr:colOff>
      <xdr:row>0</xdr:row>
      <xdr:rowOff>47625</xdr:rowOff>
    </xdr:from>
    <xdr:to>
      <xdr:col>0</xdr:col>
      <xdr:colOff>1071563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214314" y="47625"/>
          <a:ext cx="857249" cy="8215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zoomScale="70" zoomScaleNormal="70" zoomScaleSheetLayoutView="30" workbookViewId="0">
      <selection activeCell="B9" sqref="B9:C12"/>
    </sheetView>
  </sheetViews>
  <sheetFormatPr baseColWidth="10" defaultRowHeight="12.75"/>
  <cols>
    <col min="1" max="1" width="12.625" style="110" customWidth="1"/>
    <col min="2" max="2" width="43.375" style="13" customWidth="1"/>
    <col min="3" max="3" width="19" style="13" customWidth="1"/>
    <col min="4" max="5" width="13.125" style="13" customWidth="1"/>
    <col min="6" max="6" width="13.5" style="13" customWidth="1"/>
    <col min="7" max="7" width="21.25" style="13" customWidth="1"/>
    <col min="8" max="8" width="15.25" style="13" customWidth="1"/>
    <col min="9" max="9" width="15.625" style="13" customWidth="1"/>
    <col min="10" max="10" width="15.625" style="13" bestFit="1" customWidth="1"/>
    <col min="11" max="19" width="14.625" style="13" customWidth="1"/>
    <col min="20" max="20" width="15.875" style="13" bestFit="1" customWidth="1"/>
    <col min="21" max="21" width="11" style="13" customWidth="1"/>
    <col min="22" max="257" width="11" style="13"/>
    <col min="258" max="258" width="51" style="13" customWidth="1"/>
    <col min="259" max="259" width="19" style="13" customWidth="1"/>
    <col min="260" max="260" width="15.375" style="13" customWidth="1"/>
    <col min="261" max="261" width="14.5" style="13" customWidth="1"/>
    <col min="262" max="262" width="19.75" style="13" customWidth="1"/>
    <col min="263" max="263" width="20.5" style="13" customWidth="1"/>
    <col min="264" max="264" width="15.25" style="13" customWidth="1"/>
    <col min="265" max="265" width="15.625" style="13" customWidth="1"/>
    <col min="266" max="266" width="15.625" style="13" bestFit="1" customWidth="1"/>
    <col min="267" max="267" width="14.875" style="13" customWidth="1"/>
    <col min="268" max="268" width="15.625" style="13" bestFit="1" customWidth="1"/>
    <col min="269" max="269" width="15" style="13" customWidth="1"/>
    <col min="270" max="270" width="15.625" style="13" bestFit="1" customWidth="1"/>
    <col min="271" max="271" width="15.875" style="13" customWidth="1"/>
    <col min="272" max="272" width="16.25" style="13" customWidth="1"/>
    <col min="273" max="273" width="16.75" style="13" customWidth="1"/>
    <col min="274" max="274" width="14.875" style="13" customWidth="1"/>
    <col min="275" max="275" width="19.625" style="13" bestFit="1" customWidth="1"/>
    <col min="276" max="276" width="21.875" style="13" customWidth="1"/>
    <col min="277" max="513" width="11" style="13"/>
    <col min="514" max="514" width="51" style="13" customWidth="1"/>
    <col min="515" max="515" width="19" style="13" customWidth="1"/>
    <col min="516" max="516" width="15.375" style="13" customWidth="1"/>
    <col min="517" max="517" width="14.5" style="13" customWidth="1"/>
    <col min="518" max="518" width="19.75" style="13" customWidth="1"/>
    <col min="519" max="519" width="20.5" style="13" customWidth="1"/>
    <col min="520" max="520" width="15.25" style="13" customWidth="1"/>
    <col min="521" max="521" width="15.625" style="13" customWidth="1"/>
    <col min="522" max="522" width="15.625" style="13" bestFit="1" customWidth="1"/>
    <col min="523" max="523" width="14.875" style="13" customWidth="1"/>
    <col min="524" max="524" width="15.625" style="13" bestFit="1" customWidth="1"/>
    <col min="525" max="525" width="15" style="13" customWidth="1"/>
    <col min="526" max="526" width="15.625" style="13" bestFit="1" customWidth="1"/>
    <col min="527" max="527" width="15.875" style="13" customWidth="1"/>
    <col min="528" max="528" width="16.25" style="13" customWidth="1"/>
    <col min="529" max="529" width="16.75" style="13" customWidth="1"/>
    <col min="530" max="530" width="14.875" style="13" customWidth="1"/>
    <col min="531" max="531" width="19.625" style="13" bestFit="1" customWidth="1"/>
    <col min="532" max="532" width="21.875" style="13" customWidth="1"/>
    <col min="533" max="769" width="11" style="13"/>
    <col min="770" max="770" width="51" style="13" customWidth="1"/>
    <col min="771" max="771" width="19" style="13" customWidth="1"/>
    <col min="772" max="772" width="15.375" style="13" customWidth="1"/>
    <col min="773" max="773" width="14.5" style="13" customWidth="1"/>
    <col min="774" max="774" width="19.75" style="13" customWidth="1"/>
    <col min="775" max="775" width="20.5" style="13" customWidth="1"/>
    <col min="776" max="776" width="15.25" style="13" customWidth="1"/>
    <col min="777" max="777" width="15.625" style="13" customWidth="1"/>
    <col min="778" max="778" width="15.625" style="13" bestFit="1" customWidth="1"/>
    <col min="779" max="779" width="14.875" style="13" customWidth="1"/>
    <col min="780" max="780" width="15.625" style="13" bestFit="1" customWidth="1"/>
    <col min="781" max="781" width="15" style="13" customWidth="1"/>
    <col min="782" max="782" width="15.625" style="13" bestFit="1" customWidth="1"/>
    <col min="783" max="783" width="15.875" style="13" customWidth="1"/>
    <col min="784" max="784" width="16.25" style="13" customWidth="1"/>
    <col min="785" max="785" width="16.75" style="13" customWidth="1"/>
    <col min="786" max="786" width="14.875" style="13" customWidth="1"/>
    <col min="787" max="787" width="19.625" style="13" bestFit="1" customWidth="1"/>
    <col min="788" max="788" width="21.875" style="13" customWidth="1"/>
    <col min="789" max="1025" width="11" style="13"/>
    <col min="1026" max="1026" width="51" style="13" customWidth="1"/>
    <col min="1027" max="1027" width="19" style="13" customWidth="1"/>
    <col min="1028" max="1028" width="15.375" style="13" customWidth="1"/>
    <col min="1029" max="1029" width="14.5" style="13" customWidth="1"/>
    <col min="1030" max="1030" width="19.75" style="13" customWidth="1"/>
    <col min="1031" max="1031" width="20.5" style="13" customWidth="1"/>
    <col min="1032" max="1032" width="15.25" style="13" customWidth="1"/>
    <col min="1033" max="1033" width="15.625" style="13" customWidth="1"/>
    <col min="1034" max="1034" width="15.625" style="13" bestFit="1" customWidth="1"/>
    <col min="1035" max="1035" width="14.875" style="13" customWidth="1"/>
    <col min="1036" max="1036" width="15.625" style="13" bestFit="1" customWidth="1"/>
    <col min="1037" max="1037" width="15" style="13" customWidth="1"/>
    <col min="1038" max="1038" width="15.625" style="13" bestFit="1" customWidth="1"/>
    <col min="1039" max="1039" width="15.875" style="13" customWidth="1"/>
    <col min="1040" max="1040" width="16.25" style="13" customWidth="1"/>
    <col min="1041" max="1041" width="16.75" style="13" customWidth="1"/>
    <col min="1042" max="1042" width="14.875" style="13" customWidth="1"/>
    <col min="1043" max="1043" width="19.625" style="13" bestFit="1" customWidth="1"/>
    <col min="1044" max="1044" width="21.875" style="13" customWidth="1"/>
    <col min="1045" max="1281" width="11" style="13"/>
    <col min="1282" max="1282" width="51" style="13" customWidth="1"/>
    <col min="1283" max="1283" width="19" style="13" customWidth="1"/>
    <col min="1284" max="1284" width="15.375" style="13" customWidth="1"/>
    <col min="1285" max="1285" width="14.5" style="13" customWidth="1"/>
    <col min="1286" max="1286" width="19.75" style="13" customWidth="1"/>
    <col min="1287" max="1287" width="20.5" style="13" customWidth="1"/>
    <col min="1288" max="1288" width="15.25" style="13" customWidth="1"/>
    <col min="1289" max="1289" width="15.625" style="13" customWidth="1"/>
    <col min="1290" max="1290" width="15.625" style="13" bestFit="1" customWidth="1"/>
    <col min="1291" max="1291" width="14.875" style="13" customWidth="1"/>
    <col min="1292" max="1292" width="15.625" style="13" bestFit="1" customWidth="1"/>
    <col min="1293" max="1293" width="15" style="13" customWidth="1"/>
    <col min="1294" max="1294" width="15.625" style="13" bestFit="1" customWidth="1"/>
    <col min="1295" max="1295" width="15.875" style="13" customWidth="1"/>
    <col min="1296" max="1296" width="16.25" style="13" customWidth="1"/>
    <col min="1297" max="1297" width="16.75" style="13" customWidth="1"/>
    <col min="1298" max="1298" width="14.875" style="13" customWidth="1"/>
    <col min="1299" max="1299" width="19.625" style="13" bestFit="1" customWidth="1"/>
    <col min="1300" max="1300" width="21.875" style="13" customWidth="1"/>
    <col min="1301" max="1537" width="11" style="13"/>
    <col min="1538" max="1538" width="51" style="13" customWidth="1"/>
    <col min="1539" max="1539" width="19" style="13" customWidth="1"/>
    <col min="1540" max="1540" width="15.375" style="13" customWidth="1"/>
    <col min="1541" max="1541" width="14.5" style="13" customWidth="1"/>
    <col min="1542" max="1542" width="19.75" style="13" customWidth="1"/>
    <col min="1543" max="1543" width="20.5" style="13" customWidth="1"/>
    <col min="1544" max="1544" width="15.25" style="13" customWidth="1"/>
    <col min="1545" max="1545" width="15.625" style="13" customWidth="1"/>
    <col min="1546" max="1546" width="15.625" style="13" bestFit="1" customWidth="1"/>
    <col min="1547" max="1547" width="14.875" style="13" customWidth="1"/>
    <col min="1548" max="1548" width="15.625" style="13" bestFit="1" customWidth="1"/>
    <col min="1549" max="1549" width="15" style="13" customWidth="1"/>
    <col min="1550" max="1550" width="15.625" style="13" bestFit="1" customWidth="1"/>
    <col min="1551" max="1551" width="15.875" style="13" customWidth="1"/>
    <col min="1552" max="1552" width="16.25" style="13" customWidth="1"/>
    <col min="1553" max="1553" width="16.75" style="13" customWidth="1"/>
    <col min="1554" max="1554" width="14.875" style="13" customWidth="1"/>
    <col min="1555" max="1555" width="19.625" style="13" bestFit="1" customWidth="1"/>
    <col min="1556" max="1556" width="21.875" style="13" customWidth="1"/>
    <col min="1557" max="1793" width="11" style="13"/>
    <col min="1794" max="1794" width="51" style="13" customWidth="1"/>
    <col min="1795" max="1795" width="19" style="13" customWidth="1"/>
    <col min="1796" max="1796" width="15.375" style="13" customWidth="1"/>
    <col min="1797" max="1797" width="14.5" style="13" customWidth="1"/>
    <col min="1798" max="1798" width="19.75" style="13" customWidth="1"/>
    <col min="1799" max="1799" width="20.5" style="13" customWidth="1"/>
    <col min="1800" max="1800" width="15.25" style="13" customWidth="1"/>
    <col min="1801" max="1801" width="15.625" style="13" customWidth="1"/>
    <col min="1802" max="1802" width="15.625" style="13" bestFit="1" customWidth="1"/>
    <col min="1803" max="1803" width="14.875" style="13" customWidth="1"/>
    <col min="1804" max="1804" width="15.625" style="13" bestFit="1" customWidth="1"/>
    <col min="1805" max="1805" width="15" style="13" customWidth="1"/>
    <col min="1806" max="1806" width="15.625" style="13" bestFit="1" customWidth="1"/>
    <col min="1807" max="1807" width="15.875" style="13" customWidth="1"/>
    <col min="1808" max="1808" width="16.25" style="13" customWidth="1"/>
    <col min="1809" max="1809" width="16.75" style="13" customWidth="1"/>
    <col min="1810" max="1810" width="14.875" style="13" customWidth="1"/>
    <col min="1811" max="1811" width="19.625" style="13" bestFit="1" customWidth="1"/>
    <col min="1812" max="1812" width="21.875" style="13" customWidth="1"/>
    <col min="1813" max="2049" width="11" style="13"/>
    <col min="2050" max="2050" width="51" style="13" customWidth="1"/>
    <col min="2051" max="2051" width="19" style="13" customWidth="1"/>
    <col min="2052" max="2052" width="15.375" style="13" customWidth="1"/>
    <col min="2053" max="2053" width="14.5" style="13" customWidth="1"/>
    <col min="2054" max="2054" width="19.75" style="13" customWidth="1"/>
    <col min="2055" max="2055" width="20.5" style="13" customWidth="1"/>
    <col min="2056" max="2056" width="15.25" style="13" customWidth="1"/>
    <col min="2057" max="2057" width="15.625" style="13" customWidth="1"/>
    <col min="2058" max="2058" width="15.625" style="13" bestFit="1" customWidth="1"/>
    <col min="2059" max="2059" width="14.875" style="13" customWidth="1"/>
    <col min="2060" max="2060" width="15.625" style="13" bestFit="1" customWidth="1"/>
    <col min="2061" max="2061" width="15" style="13" customWidth="1"/>
    <col min="2062" max="2062" width="15.625" style="13" bestFit="1" customWidth="1"/>
    <col min="2063" max="2063" width="15.875" style="13" customWidth="1"/>
    <col min="2064" max="2064" width="16.25" style="13" customWidth="1"/>
    <col min="2065" max="2065" width="16.75" style="13" customWidth="1"/>
    <col min="2066" max="2066" width="14.875" style="13" customWidth="1"/>
    <col min="2067" max="2067" width="19.625" style="13" bestFit="1" customWidth="1"/>
    <col min="2068" max="2068" width="21.875" style="13" customWidth="1"/>
    <col min="2069" max="2305" width="11" style="13"/>
    <col min="2306" max="2306" width="51" style="13" customWidth="1"/>
    <col min="2307" max="2307" width="19" style="13" customWidth="1"/>
    <col min="2308" max="2308" width="15.375" style="13" customWidth="1"/>
    <col min="2309" max="2309" width="14.5" style="13" customWidth="1"/>
    <col min="2310" max="2310" width="19.75" style="13" customWidth="1"/>
    <col min="2311" max="2311" width="20.5" style="13" customWidth="1"/>
    <col min="2312" max="2312" width="15.25" style="13" customWidth="1"/>
    <col min="2313" max="2313" width="15.625" style="13" customWidth="1"/>
    <col min="2314" max="2314" width="15.625" style="13" bestFit="1" customWidth="1"/>
    <col min="2315" max="2315" width="14.875" style="13" customWidth="1"/>
    <col min="2316" max="2316" width="15.625" style="13" bestFit="1" customWidth="1"/>
    <col min="2317" max="2317" width="15" style="13" customWidth="1"/>
    <col min="2318" max="2318" width="15.625" style="13" bestFit="1" customWidth="1"/>
    <col min="2319" max="2319" width="15.875" style="13" customWidth="1"/>
    <col min="2320" max="2320" width="16.25" style="13" customWidth="1"/>
    <col min="2321" max="2321" width="16.75" style="13" customWidth="1"/>
    <col min="2322" max="2322" width="14.875" style="13" customWidth="1"/>
    <col min="2323" max="2323" width="19.625" style="13" bestFit="1" customWidth="1"/>
    <col min="2324" max="2324" width="21.875" style="13" customWidth="1"/>
    <col min="2325" max="2561" width="11" style="13"/>
    <col min="2562" max="2562" width="51" style="13" customWidth="1"/>
    <col min="2563" max="2563" width="19" style="13" customWidth="1"/>
    <col min="2564" max="2564" width="15.375" style="13" customWidth="1"/>
    <col min="2565" max="2565" width="14.5" style="13" customWidth="1"/>
    <col min="2566" max="2566" width="19.75" style="13" customWidth="1"/>
    <col min="2567" max="2567" width="20.5" style="13" customWidth="1"/>
    <col min="2568" max="2568" width="15.25" style="13" customWidth="1"/>
    <col min="2569" max="2569" width="15.625" style="13" customWidth="1"/>
    <col min="2570" max="2570" width="15.625" style="13" bestFit="1" customWidth="1"/>
    <col min="2571" max="2571" width="14.875" style="13" customWidth="1"/>
    <col min="2572" max="2572" width="15.625" style="13" bestFit="1" customWidth="1"/>
    <col min="2573" max="2573" width="15" style="13" customWidth="1"/>
    <col min="2574" max="2574" width="15.625" style="13" bestFit="1" customWidth="1"/>
    <col min="2575" max="2575" width="15.875" style="13" customWidth="1"/>
    <col min="2576" max="2576" width="16.25" style="13" customWidth="1"/>
    <col min="2577" max="2577" width="16.75" style="13" customWidth="1"/>
    <col min="2578" max="2578" width="14.875" style="13" customWidth="1"/>
    <col min="2579" max="2579" width="19.625" style="13" bestFit="1" customWidth="1"/>
    <col min="2580" max="2580" width="21.875" style="13" customWidth="1"/>
    <col min="2581" max="2817" width="11" style="13"/>
    <col min="2818" max="2818" width="51" style="13" customWidth="1"/>
    <col min="2819" max="2819" width="19" style="13" customWidth="1"/>
    <col min="2820" max="2820" width="15.375" style="13" customWidth="1"/>
    <col min="2821" max="2821" width="14.5" style="13" customWidth="1"/>
    <col min="2822" max="2822" width="19.75" style="13" customWidth="1"/>
    <col min="2823" max="2823" width="20.5" style="13" customWidth="1"/>
    <col min="2824" max="2824" width="15.25" style="13" customWidth="1"/>
    <col min="2825" max="2825" width="15.625" style="13" customWidth="1"/>
    <col min="2826" max="2826" width="15.625" style="13" bestFit="1" customWidth="1"/>
    <col min="2827" max="2827" width="14.875" style="13" customWidth="1"/>
    <col min="2828" max="2828" width="15.625" style="13" bestFit="1" customWidth="1"/>
    <col min="2829" max="2829" width="15" style="13" customWidth="1"/>
    <col min="2830" max="2830" width="15.625" style="13" bestFit="1" customWidth="1"/>
    <col min="2831" max="2831" width="15.875" style="13" customWidth="1"/>
    <col min="2832" max="2832" width="16.25" style="13" customWidth="1"/>
    <col min="2833" max="2833" width="16.75" style="13" customWidth="1"/>
    <col min="2834" max="2834" width="14.875" style="13" customWidth="1"/>
    <col min="2835" max="2835" width="19.625" style="13" bestFit="1" customWidth="1"/>
    <col min="2836" max="2836" width="21.875" style="13" customWidth="1"/>
    <col min="2837" max="3073" width="11" style="13"/>
    <col min="3074" max="3074" width="51" style="13" customWidth="1"/>
    <col min="3075" max="3075" width="19" style="13" customWidth="1"/>
    <col min="3076" max="3076" width="15.375" style="13" customWidth="1"/>
    <col min="3077" max="3077" width="14.5" style="13" customWidth="1"/>
    <col min="3078" max="3078" width="19.75" style="13" customWidth="1"/>
    <col min="3079" max="3079" width="20.5" style="13" customWidth="1"/>
    <col min="3080" max="3080" width="15.25" style="13" customWidth="1"/>
    <col min="3081" max="3081" width="15.625" style="13" customWidth="1"/>
    <col min="3082" max="3082" width="15.625" style="13" bestFit="1" customWidth="1"/>
    <col min="3083" max="3083" width="14.875" style="13" customWidth="1"/>
    <col min="3084" max="3084" width="15.625" style="13" bestFit="1" customWidth="1"/>
    <col min="3085" max="3085" width="15" style="13" customWidth="1"/>
    <col min="3086" max="3086" width="15.625" style="13" bestFit="1" customWidth="1"/>
    <col min="3087" max="3087" width="15.875" style="13" customWidth="1"/>
    <col min="3088" max="3088" width="16.25" style="13" customWidth="1"/>
    <col min="3089" max="3089" width="16.75" style="13" customWidth="1"/>
    <col min="3090" max="3090" width="14.875" style="13" customWidth="1"/>
    <col min="3091" max="3091" width="19.625" style="13" bestFit="1" customWidth="1"/>
    <col min="3092" max="3092" width="21.875" style="13" customWidth="1"/>
    <col min="3093" max="3329" width="11" style="13"/>
    <col min="3330" max="3330" width="51" style="13" customWidth="1"/>
    <col min="3331" max="3331" width="19" style="13" customWidth="1"/>
    <col min="3332" max="3332" width="15.375" style="13" customWidth="1"/>
    <col min="3333" max="3333" width="14.5" style="13" customWidth="1"/>
    <col min="3334" max="3334" width="19.75" style="13" customWidth="1"/>
    <col min="3335" max="3335" width="20.5" style="13" customWidth="1"/>
    <col min="3336" max="3336" width="15.25" style="13" customWidth="1"/>
    <col min="3337" max="3337" width="15.625" style="13" customWidth="1"/>
    <col min="3338" max="3338" width="15.625" style="13" bestFit="1" customWidth="1"/>
    <col min="3339" max="3339" width="14.875" style="13" customWidth="1"/>
    <col min="3340" max="3340" width="15.625" style="13" bestFit="1" customWidth="1"/>
    <col min="3341" max="3341" width="15" style="13" customWidth="1"/>
    <col min="3342" max="3342" width="15.625" style="13" bestFit="1" customWidth="1"/>
    <col min="3343" max="3343" width="15.875" style="13" customWidth="1"/>
    <col min="3344" max="3344" width="16.25" style="13" customWidth="1"/>
    <col min="3345" max="3345" width="16.75" style="13" customWidth="1"/>
    <col min="3346" max="3346" width="14.875" style="13" customWidth="1"/>
    <col min="3347" max="3347" width="19.625" style="13" bestFit="1" customWidth="1"/>
    <col min="3348" max="3348" width="21.875" style="13" customWidth="1"/>
    <col min="3349" max="3585" width="11" style="13"/>
    <col min="3586" max="3586" width="51" style="13" customWidth="1"/>
    <col min="3587" max="3587" width="19" style="13" customWidth="1"/>
    <col min="3588" max="3588" width="15.375" style="13" customWidth="1"/>
    <col min="3589" max="3589" width="14.5" style="13" customWidth="1"/>
    <col min="3590" max="3590" width="19.75" style="13" customWidth="1"/>
    <col min="3591" max="3591" width="20.5" style="13" customWidth="1"/>
    <col min="3592" max="3592" width="15.25" style="13" customWidth="1"/>
    <col min="3593" max="3593" width="15.625" style="13" customWidth="1"/>
    <col min="3594" max="3594" width="15.625" style="13" bestFit="1" customWidth="1"/>
    <col min="3595" max="3595" width="14.875" style="13" customWidth="1"/>
    <col min="3596" max="3596" width="15.625" style="13" bestFit="1" customWidth="1"/>
    <col min="3597" max="3597" width="15" style="13" customWidth="1"/>
    <col min="3598" max="3598" width="15.625" style="13" bestFit="1" customWidth="1"/>
    <col min="3599" max="3599" width="15.875" style="13" customWidth="1"/>
    <col min="3600" max="3600" width="16.25" style="13" customWidth="1"/>
    <col min="3601" max="3601" width="16.75" style="13" customWidth="1"/>
    <col min="3602" max="3602" width="14.875" style="13" customWidth="1"/>
    <col min="3603" max="3603" width="19.625" style="13" bestFit="1" customWidth="1"/>
    <col min="3604" max="3604" width="21.875" style="13" customWidth="1"/>
    <col min="3605" max="3841" width="11" style="13"/>
    <col min="3842" max="3842" width="51" style="13" customWidth="1"/>
    <col min="3843" max="3843" width="19" style="13" customWidth="1"/>
    <col min="3844" max="3844" width="15.375" style="13" customWidth="1"/>
    <col min="3845" max="3845" width="14.5" style="13" customWidth="1"/>
    <col min="3846" max="3846" width="19.75" style="13" customWidth="1"/>
    <col min="3847" max="3847" width="20.5" style="13" customWidth="1"/>
    <col min="3848" max="3848" width="15.25" style="13" customWidth="1"/>
    <col min="3849" max="3849" width="15.625" style="13" customWidth="1"/>
    <col min="3850" max="3850" width="15.625" style="13" bestFit="1" customWidth="1"/>
    <col min="3851" max="3851" width="14.875" style="13" customWidth="1"/>
    <col min="3852" max="3852" width="15.625" style="13" bestFit="1" customWidth="1"/>
    <col min="3853" max="3853" width="15" style="13" customWidth="1"/>
    <col min="3854" max="3854" width="15.625" style="13" bestFit="1" customWidth="1"/>
    <col min="3855" max="3855" width="15.875" style="13" customWidth="1"/>
    <col min="3856" max="3856" width="16.25" style="13" customWidth="1"/>
    <col min="3857" max="3857" width="16.75" style="13" customWidth="1"/>
    <col min="3858" max="3858" width="14.875" style="13" customWidth="1"/>
    <col min="3859" max="3859" width="19.625" style="13" bestFit="1" customWidth="1"/>
    <col min="3860" max="3860" width="21.875" style="13" customWidth="1"/>
    <col min="3861" max="4097" width="11" style="13"/>
    <col min="4098" max="4098" width="51" style="13" customWidth="1"/>
    <col min="4099" max="4099" width="19" style="13" customWidth="1"/>
    <col min="4100" max="4100" width="15.375" style="13" customWidth="1"/>
    <col min="4101" max="4101" width="14.5" style="13" customWidth="1"/>
    <col min="4102" max="4102" width="19.75" style="13" customWidth="1"/>
    <col min="4103" max="4103" width="20.5" style="13" customWidth="1"/>
    <col min="4104" max="4104" width="15.25" style="13" customWidth="1"/>
    <col min="4105" max="4105" width="15.625" style="13" customWidth="1"/>
    <col min="4106" max="4106" width="15.625" style="13" bestFit="1" customWidth="1"/>
    <col min="4107" max="4107" width="14.875" style="13" customWidth="1"/>
    <col min="4108" max="4108" width="15.625" style="13" bestFit="1" customWidth="1"/>
    <col min="4109" max="4109" width="15" style="13" customWidth="1"/>
    <col min="4110" max="4110" width="15.625" style="13" bestFit="1" customWidth="1"/>
    <col min="4111" max="4111" width="15.875" style="13" customWidth="1"/>
    <col min="4112" max="4112" width="16.25" style="13" customWidth="1"/>
    <col min="4113" max="4113" width="16.75" style="13" customWidth="1"/>
    <col min="4114" max="4114" width="14.875" style="13" customWidth="1"/>
    <col min="4115" max="4115" width="19.625" style="13" bestFit="1" customWidth="1"/>
    <col min="4116" max="4116" width="21.875" style="13" customWidth="1"/>
    <col min="4117" max="4353" width="11" style="13"/>
    <col min="4354" max="4354" width="51" style="13" customWidth="1"/>
    <col min="4355" max="4355" width="19" style="13" customWidth="1"/>
    <col min="4356" max="4356" width="15.375" style="13" customWidth="1"/>
    <col min="4357" max="4357" width="14.5" style="13" customWidth="1"/>
    <col min="4358" max="4358" width="19.75" style="13" customWidth="1"/>
    <col min="4359" max="4359" width="20.5" style="13" customWidth="1"/>
    <col min="4360" max="4360" width="15.25" style="13" customWidth="1"/>
    <col min="4361" max="4361" width="15.625" style="13" customWidth="1"/>
    <col min="4362" max="4362" width="15.625" style="13" bestFit="1" customWidth="1"/>
    <col min="4363" max="4363" width="14.875" style="13" customWidth="1"/>
    <col min="4364" max="4364" width="15.625" style="13" bestFit="1" customWidth="1"/>
    <col min="4365" max="4365" width="15" style="13" customWidth="1"/>
    <col min="4366" max="4366" width="15.625" style="13" bestFit="1" customWidth="1"/>
    <col min="4367" max="4367" width="15.875" style="13" customWidth="1"/>
    <col min="4368" max="4368" width="16.25" style="13" customWidth="1"/>
    <col min="4369" max="4369" width="16.75" style="13" customWidth="1"/>
    <col min="4370" max="4370" width="14.875" style="13" customWidth="1"/>
    <col min="4371" max="4371" width="19.625" style="13" bestFit="1" customWidth="1"/>
    <col min="4372" max="4372" width="21.875" style="13" customWidth="1"/>
    <col min="4373" max="4609" width="11" style="13"/>
    <col min="4610" max="4610" width="51" style="13" customWidth="1"/>
    <col min="4611" max="4611" width="19" style="13" customWidth="1"/>
    <col min="4612" max="4612" width="15.375" style="13" customWidth="1"/>
    <col min="4613" max="4613" width="14.5" style="13" customWidth="1"/>
    <col min="4614" max="4614" width="19.75" style="13" customWidth="1"/>
    <col min="4615" max="4615" width="20.5" style="13" customWidth="1"/>
    <col min="4616" max="4616" width="15.25" style="13" customWidth="1"/>
    <col min="4617" max="4617" width="15.625" style="13" customWidth="1"/>
    <col min="4618" max="4618" width="15.625" style="13" bestFit="1" customWidth="1"/>
    <col min="4619" max="4619" width="14.875" style="13" customWidth="1"/>
    <col min="4620" max="4620" width="15.625" style="13" bestFit="1" customWidth="1"/>
    <col min="4621" max="4621" width="15" style="13" customWidth="1"/>
    <col min="4622" max="4622" width="15.625" style="13" bestFit="1" customWidth="1"/>
    <col min="4623" max="4623" width="15.875" style="13" customWidth="1"/>
    <col min="4624" max="4624" width="16.25" style="13" customWidth="1"/>
    <col min="4625" max="4625" width="16.75" style="13" customWidth="1"/>
    <col min="4626" max="4626" width="14.875" style="13" customWidth="1"/>
    <col min="4627" max="4627" width="19.625" style="13" bestFit="1" customWidth="1"/>
    <col min="4628" max="4628" width="21.875" style="13" customWidth="1"/>
    <col min="4629" max="4865" width="11" style="13"/>
    <col min="4866" max="4866" width="51" style="13" customWidth="1"/>
    <col min="4867" max="4867" width="19" style="13" customWidth="1"/>
    <col min="4868" max="4868" width="15.375" style="13" customWidth="1"/>
    <col min="4869" max="4869" width="14.5" style="13" customWidth="1"/>
    <col min="4870" max="4870" width="19.75" style="13" customWidth="1"/>
    <col min="4871" max="4871" width="20.5" style="13" customWidth="1"/>
    <col min="4872" max="4872" width="15.25" style="13" customWidth="1"/>
    <col min="4873" max="4873" width="15.625" style="13" customWidth="1"/>
    <col min="4874" max="4874" width="15.625" style="13" bestFit="1" customWidth="1"/>
    <col min="4875" max="4875" width="14.875" style="13" customWidth="1"/>
    <col min="4876" max="4876" width="15.625" style="13" bestFit="1" customWidth="1"/>
    <col min="4877" max="4877" width="15" style="13" customWidth="1"/>
    <col min="4878" max="4878" width="15.625" style="13" bestFit="1" customWidth="1"/>
    <col min="4879" max="4879" width="15.875" style="13" customWidth="1"/>
    <col min="4880" max="4880" width="16.25" style="13" customWidth="1"/>
    <col min="4881" max="4881" width="16.75" style="13" customWidth="1"/>
    <col min="4882" max="4882" width="14.875" style="13" customWidth="1"/>
    <col min="4883" max="4883" width="19.625" style="13" bestFit="1" customWidth="1"/>
    <col min="4884" max="4884" width="21.875" style="13" customWidth="1"/>
    <col min="4885" max="5121" width="11" style="13"/>
    <col min="5122" max="5122" width="51" style="13" customWidth="1"/>
    <col min="5123" max="5123" width="19" style="13" customWidth="1"/>
    <col min="5124" max="5124" width="15.375" style="13" customWidth="1"/>
    <col min="5125" max="5125" width="14.5" style="13" customWidth="1"/>
    <col min="5126" max="5126" width="19.75" style="13" customWidth="1"/>
    <col min="5127" max="5127" width="20.5" style="13" customWidth="1"/>
    <col min="5128" max="5128" width="15.25" style="13" customWidth="1"/>
    <col min="5129" max="5129" width="15.625" style="13" customWidth="1"/>
    <col min="5130" max="5130" width="15.625" style="13" bestFit="1" customWidth="1"/>
    <col min="5131" max="5131" width="14.875" style="13" customWidth="1"/>
    <col min="5132" max="5132" width="15.625" style="13" bestFit="1" customWidth="1"/>
    <col min="5133" max="5133" width="15" style="13" customWidth="1"/>
    <col min="5134" max="5134" width="15.625" style="13" bestFit="1" customWidth="1"/>
    <col min="5135" max="5135" width="15.875" style="13" customWidth="1"/>
    <col min="5136" max="5136" width="16.25" style="13" customWidth="1"/>
    <col min="5137" max="5137" width="16.75" style="13" customWidth="1"/>
    <col min="5138" max="5138" width="14.875" style="13" customWidth="1"/>
    <col min="5139" max="5139" width="19.625" style="13" bestFit="1" customWidth="1"/>
    <col min="5140" max="5140" width="21.875" style="13" customWidth="1"/>
    <col min="5141" max="5377" width="11" style="13"/>
    <col min="5378" max="5378" width="51" style="13" customWidth="1"/>
    <col min="5379" max="5379" width="19" style="13" customWidth="1"/>
    <col min="5380" max="5380" width="15.375" style="13" customWidth="1"/>
    <col min="5381" max="5381" width="14.5" style="13" customWidth="1"/>
    <col min="5382" max="5382" width="19.75" style="13" customWidth="1"/>
    <col min="5383" max="5383" width="20.5" style="13" customWidth="1"/>
    <col min="5384" max="5384" width="15.25" style="13" customWidth="1"/>
    <col min="5385" max="5385" width="15.625" style="13" customWidth="1"/>
    <col min="5386" max="5386" width="15.625" style="13" bestFit="1" customWidth="1"/>
    <col min="5387" max="5387" width="14.875" style="13" customWidth="1"/>
    <col min="5388" max="5388" width="15.625" style="13" bestFit="1" customWidth="1"/>
    <col min="5389" max="5389" width="15" style="13" customWidth="1"/>
    <col min="5390" max="5390" width="15.625" style="13" bestFit="1" customWidth="1"/>
    <col min="5391" max="5391" width="15.875" style="13" customWidth="1"/>
    <col min="5392" max="5392" width="16.25" style="13" customWidth="1"/>
    <col min="5393" max="5393" width="16.75" style="13" customWidth="1"/>
    <col min="5394" max="5394" width="14.875" style="13" customWidth="1"/>
    <col min="5395" max="5395" width="19.625" style="13" bestFit="1" customWidth="1"/>
    <col min="5396" max="5396" width="21.875" style="13" customWidth="1"/>
    <col min="5397" max="5633" width="11" style="13"/>
    <col min="5634" max="5634" width="51" style="13" customWidth="1"/>
    <col min="5635" max="5635" width="19" style="13" customWidth="1"/>
    <col min="5636" max="5636" width="15.375" style="13" customWidth="1"/>
    <col min="5637" max="5637" width="14.5" style="13" customWidth="1"/>
    <col min="5638" max="5638" width="19.75" style="13" customWidth="1"/>
    <col min="5639" max="5639" width="20.5" style="13" customWidth="1"/>
    <col min="5640" max="5640" width="15.25" style="13" customWidth="1"/>
    <col min="5641" max="5641" width="15.625" style="13" customWidth="1"/>
    <col min="5642" max="5642" width="15.625" style="13" bestFit="1" customWidth="1"/>
    <col min="5643" max="5643" width="14.875" style="13" customWidth="1"/>
    <col min="5644" max="5644" width="15.625" style="13" bestFit="1" customWidth="1"/>
    <col min="5645" max="5645" width="15" style="13" customWidth="1"/>
    <col min="5646" max="5646" width="15.625" style="13" bestFit="1" customWidth="1"/>
    <col min="5647" max="5647" width="15.875" style="13" customWidth="1"/>
    <col min="5648" max="5648" width="16.25" style="13" customWidth="1"/>
    <col min="5649" max="5649" width="16.75" style="13" customWidth="1"/>
    <col min="5650" max="5650" width="14.875" style="13" customWidth="1"/>
    <col min="5651" max="5651" width="19.625" style="13" bestFit="1" customWidth="1"/>
    <col min="5652" max="5652" width="21.875" style="13" customWidth="1"/>
    <col min="5653" max="5889" width="11" style="13"/>
    <col min="5890" max="5890" width="51" style="13" customWidth="1"/>
    <col min="5891" max="5891" width="19" style="13" customWidth="1"/>
    <col min="5892" max="5892" width="15.375" style="13" customWidth="1"/>
    <col min="5893" max="5893" width="14.5" style="13" customWidth="1"/>
    <col min="5894" max="5894" width="19.75" style="13" customWidth="1"/>
    <col min="5895" max="5895" width="20.5" style="13" customWidth="1"/>
    <col min="5896" max="5896" width="15.25" style="13" customWidth="1"/>
    <col min="5897" max="5897" width="15.625" style="13" customWidth="1"/>
    <col min="5898" max="5898" width="15.625" style="13" bestFit="1" customWidth="1"/>
    <col min="5899" max="5899" width="14.875" style="13" customWidth="1"/>
    <col min="5900" max="5900" width="15.625" style="13" bestFit="1" customWidth="1"/>
    <col min="5901" max="5901" width="15" style="13" customWidth="1"/>
    <col min="5902" max="5902" width="15.625" style="13" bestFit="1" customWidth="1"/>
    <col min="5903" max="5903" width="15.875" style="13" customWidth="1"/>
    <col min="5904" max="5904" width="16.25" style="13" customWidth="1"/>
    <col min="5905" max="5905" width="16.75" style="13" customWidth="1"/>
    <col min="5906" max="5906" width="14.875" style="13" customWidth="1"/>
    <col min="5907" max="5907" width="19.625" style="13" bestFit="1" customWidth="1"/>
    <col min="5908" max="5908" width="21.875" style="13" customWidth="1"/>
    <col min="5909" max="6145" width="11" style="13"/>
    <col min="6146" max="6146" width="51" style="13" customWidth="1"/>
    <col min="6147" max="6147" width="19" style="13" customWidth="1"/>
    <col min="6148" max="6148" width="15.375" style="13" customWidth="1"/>
    <col min="6149" max="6149" width="14.5" style="13" customWidth="1"/>
    <col min="6150" max="6150" width="19.75" style="13" customWidth="1"/>
    <col min="6151" max="6151" width="20.5" style="13" customWidth="1"/>
    <col min="6152" max="6152" width="15.25" style="13" customWidth="1"/>
    <col min="6153" max="6153" width="15.625" style="13" customWidth="1"/>
    <col min="6154" max="6154" width="15.625" style="13" bestFit="1" customWidth="1"/>
    <col min="6155" max="6155" width="14.875" style="13" customWidth="1"/>
    <col min="6156" max="6156" width="15.625" style="13" bestFit="1" customWidth="1"/>
    <col min="6157" max="6157" width="15" style="13" customWidth="1"/>
    <col min="6158" max="6158" width="15.625" style="13" bestFit="1" customWidth="1"/>
    <col min="6159" max="6159" width="15.875" style="13" customWidth="1"/>
    <col min="6160" max="6160" width="16.25" style="13" customWidth="1"/>
    <col min="6161" max="6161" width="16.75" style="13" customWidth="1"/>
    <col min="6162" max="6162" width="14.875" style="13" customWidth="1"/>
    <col min="6163" max="6163" width="19.625" style="13" bestFit="1" customWidth="1"/>
    <col min="6164" max="6164" width="21.875" style="13" customWidth="1"/>
    <col min="6165" max="6401" width="11" style="13"/>
    <col min="6402" max="6402" width="51" style="13" customWidth="1"/>
    <col min="6403" max="6403" width="19" style="13" customWidth="1"/>
    <col min="6404" max="6404" width="15.375" style="13" customWidth="1"/>
    <col min="6405" max="6405" width="14.5" style="13" customWidth="1"/>
    <col min="6406" max="6406" width="19.75" style="13" customWidth="1"/>
    <col min="6407" max="6407" width="20.5" style="13" customWidth="1"/>
    <col min="6408" max="6408" width="15.25" style="13" customWidth="1"/>
    <col min="6409" max="6409" width="15.625" style="13" customWidth="1"/>
    <col min="6410" max="6410" width="15.625" style="13" bestFit="1" customWidth="1"/>
    <col min="6411" max="6411" width="14.875" style="13" customWidth="1"/>
    <col min="6412" max="6412" width="15.625" style="13" bestFit="1" customWidth="1"/>
    <col min="6413" max="6413" width="15" style="13" customWidth="1"/>
    <col min="6414" max="6414" width="15.625" style="13" bestFit="1" customWidth="1"/>
    <col min="6415" max="6415" width="15.875" style="13" customWidth="1"/>
    <col min="6416" max="6416" width="16.25" style="13" customWidth="1"/>
    <col min="6417" max="6417" width="16.75" style="13" customWidth="1"/>
    <col min="6418" max="6418" width="14.875" style="13" customWidth="1"/>
    <col min="6419" max="6419" width="19.625" style="13" bestFit="1" customWidth="1"/>
    <col min="6420" max="6420" width="21.875" style="13" customWidth="1"/>
    <col min="6421" max="6657" width="11" style="13"/>
    <col min="6658" max="6658" width="51" style="13" customWidth="1"/>
    <col min="6659" max="6659" width="19" style="13" customWidth="1"/>
    <col min="6660" max="6660" width="15.375" style="13" customWidth="1"/>
    <col min="6661" max="6661" width="14.5" style="13" customWidth="1"/>
    <col min="6662" max="6662" width="19.75" style="13" customWidth="1"/>
    <col min="6663" max="6663" width="20.5" style="13" customWidth="1"/>
    <col min="6664" max="6664" width="15.25" style="13" customWidth="1"/>
    <col min="6665" max="6665" width="15.625" style="13" customWidth="1"/>
    <col min="6666" max="6666" width="15.625" style="13" bestFit="1" customWidth="1"/>
    <col min="6667" max="6667" width="14.875" style="13" customWidth="1"/>
    <col min="6668" max="6668" width="15.625" style="13" bestFit="1" customWidth="1"/>
    <col min="6669" max="6669" width="15" style="13" customWidth="1"/>
    <col min="6670" max="6670" width="15.625" style="13" bestFit="1" customWidth="1"/>
    <col min="6671" max="6671" width="15.875" style="13" customWidth="1"/>
    <col min="6672" max="6672" width="16.25" style="13" customWidth="1"/>
    <col min="6673" max="6673" width="16.75" style="13" customWidth="1"/>
    <col min="6674" max="6674" width="14.875" style="13" customWidth="1"/>
    <col min="6675" max="6675" width="19.625" style="13" bestFit="1" customWidth="1"/>
    <col min="6676" max="6676" width="21.875" style="13" customWidth="1"/>
    <col min="6677" max="6913" width="11" style="13"/>
    <col min="6914" max="6914" width="51" style="13" customWidth="1"/>
    <col min="6915" max="6915" width="19" style="13" customWidth="1"/>
    <col min="6916" max="6916" width="15.375" style="13" customWidth="1"/>
    <col min="6917" max="6917" width="14.5" style="13" customWidth="1"/>
    <col min="6918" max="6918" width="19.75" style="13" customWidth="1"/>
    <col min="6919" max="6919" width="20.5" style="13" customWidth="1"/>
    <col min="6920" max="6920" width="15.25" style="13" customWidth="1"/>
    <col min="6921" max="6921" width="15.625" style="13" customWidth="1"/>
    <col min="6922" max="6922" width="15.625" style="13" bestFit="1" customWidth="1"/>
    <col min="6923" max="6923" width="14.875" style="13" customWidth="1"/>
    <col min="6924" max="6924" width="15.625" style="13" bestFit="1" customWidth="1"/>
    <col min="6925" max="6925" width="15" style="13" customWidth="1"/>
    <col min="6926" max="6926" width="15.625" style="13" bestFit="1" customWidth="1"/>
    <col min="6927" max="6927" width="15.875" style="13" customWidth="1"/>
    <col min="6928" max="6928" width="16.25" style="13" customWidth="1"/>
    <col min="6929" max="6929" width="16.75" style="13" customWidth="1"/>
    <col min="6930" max="6930" width="14.875" style="13" customWidth="1"/>
    <col min="6931" max="6931" width="19.625" style="13" bestFit="1" customWidth="1"/>
    <col min="6932" max="6932" width="21.875" style="13" customWidth="1"/>
    <col min="6933" max="7169" width="11" style="13"/>
    <col min="7170" max="7170" width="51" style="13" customWidth="1"/>
    <col min="7171" max="7171" width="19" style="13" customWidth="1"/>
    <col min="7172" max="7172" width="15.375" style="13" customWidth="1"/>
    <col min="7173" max="7173" width="14.5" style="13" customWidth="1"/>
    <col min="7174" max="7174" width="19.75" style="13" customWidth="1"/>
    <col min="7175" max="7175" width="20.5" style="13" customWidth="1"/>
    <col min="7176" max="7176" width="15.25" style="13" customWidth="1"/>
    <col min="7177" max="7177" width="15.625" style="13" customWidth="1"/>
    <col min="7178" max="7178" width="15.625" style="13" bestFit="1" customWidth="1"/>
    <col min="7179" max="7179" width="14.875" style="13" customWidth="1"/>
    <col min="7180" max="7180" width="15.625" style="13" bestFit="1" customWidth="1"/>
    <col min="7181" max="7181" width="15" style="13" customWidth="1"/>
    <col min="7182" max="7182" width="15.625" style="13" bestFit="1" customWidth="1"/>
    <col min="7183" max="7183" width="15.875" style="13" customWidth="1"/>
    <col min="7184" max="7184" width="16.25" style="13" customWidth="1"/>
    <col min="7185" max="7185" width="16.75" style="13" customWidth="1"/>
    <col min="7186" max="7186" width="14.875" style="13" customWidth="1"/>
    <col min="7187" max="7187" width="19.625" style="13" bestFit="1" customWidth="1"/>
    <col min="7188" max="7188" width="21.875" style="13" customWidth="1"/>
    <col min="7189" max="7425" width="11" style="13"/>
    <col min="7426" max="7426" width="51" style="13" customWidth="1"/>
    <col min="7427" max="7427" width="19" style="13" customWidth="1"/>
    <col min="7428" max="7428" width="15.375" style="13" customWidth="1"/>
    <col min="7429" max="7429" width="14.5" style="13" customWidth="1"/>
    <col min="7430" max="7430" width="19.75" style="13" customWidth="1"/>
    <col min="7431" max="7431" width="20.5" style="13" customWidth="1"/>
    <col min="7432" max="7432" width="15.25" style="13" customWidth="1"/>
    <col min="7433" max="7433" width="15.625" style="13" customWidth="1"/>
    <col min="7434" max="7434" width="15.625" style="13" bestFit="1" customWidth="1"/>
    <col min="7435" max="7435" width="14.875" style="13" customWidth="1"/>
    <col min="7436" max="7436" width="15.625" style="13" bestFit="1" customWidth="1"/>
    <col min="7437" max="7437" width="15" style="13" customWidth="1"/>
    <col min="7438" max="7438" width="15.625" style="13" bestFit="1" customWidth="1"/>
    <col min="7439" max="7439" width="15.875" style="13" customWidth="1"/>
    <col min="7440" max="7440" width="16.25" style="13" customWidth="1"/>
    <col min="7441" max="7441" width="16.75" style="13" customWidth="1"/>
    <col min="7442" max="7442" width="14.875" style="13" customWidth="1"/>
    <col min="7443" max="7443" width="19.625" style="13" bestFit="1" customWidth="1"/>
    <col min="7444" max="7444" width="21.875" style="13" customWidth="1"/>
    <col min="7445" max="7681" width="11" style="13"/>
    <col min="7682" max="7682" width="51" style="13" customWidth="1"/>
    <col min="7683" max="7683" width="19" style="13" customWidth="1"/>
    <col min="7684" max="7684" width="15.375" style="13" customWidth="1"/>
    <col min="7685" max="7685" width="14.5" style="13" customWidth="1"/>
    <col min="7686" max="7686" width="19.75" style="13" customWidth="1"/>
    <col min="7687" max="7687" width="20.5" style="13" customWidth="1"/>
    <col min="7688" max="7688" width="15.25" style="13" customWidth="1"/>
    <col min="7689" max="7689" width="15.625" style="13" customWidth="1"/>
    <col min="7690" max="7690" width="15.625" style="13" bestFit="1" customWidth="1"/>
    <col min="7691" max="7691" width="14.875" style="13" customWidth="1"/>
    <col min="7692" max="7692" width="15.625" style="13" bestFit="1" customWidth="1"/>
    <col min="7693" max="7693" width="15" style="13" customWidth="1"/>
    <col min="7694" max="7694" width="15.625" style="13" bestFit="1" customWidth="1"/>
    <col min="7695" max="7695" width="15.875" style="13" customWidth="1"/>
    <col min="7696" max="7696" width="16.25" style="13" customWidth="1"/>
    <col min="7697" max="7697" width="16.75" style="13" customWidth="1"/>
    <col min="7698" max="7698" width="14.875" style="13" customWidth="1"/>
    <col min="7699" max="7699" width="19.625" style="13" bestFit="1" customWidth="1"/>
    <col min="7700" max="7700" width="21.875" style="13" customWidth="1"/>
    <col min="7701" max="7937" width="11" style="13"/>
    <col min="7938" max="7938" width="51" style="13" customWidth="1"/>
    <col min="7939" max="7939" width="19" style="13" customWidth="1"/>
    <col min="7940" max="7940" width="15.375" style="13" customWidth="1"/>
    <col min="7941" max="7941" width="14.5" style="13" customWidth="1"/>
    <col min="7942" max="7942" width="19.75" style="13" customWidth="1"/>
    <col min="7943" max="7943" width="20.5" style="13" customWidth="1"/>
    <col min="7944" max="7944" width="15.25" style="13" customWidth="1"/>
    <col min="7945" max="7945" width="15.625" style="13" customWidth="1"/>
    <col min="7946" max="7946" width="15.625" style="13" bestFit="1" customWidth="1"/>
    <col min="7947" max="7947" width="14.875" style="13" customWidth="1"/>
    <col min="7948" max="7948" width="15.625" style="13" bestFit="1" customWidth="1"/>
    <col min="7949" max="7949" width="15" style="13" customWidth="1"/>
    <col min="7950" max="7950" width="15.625" style="13" bestFit="1" customWidth="1"/>
    <col min="7951" max="7951" width="15.875" style="13" customWidth="1"/>
    <col min="7952" max="7952" width="16.25" style="13" customWidth="1"/>
    <col min="7953" max="7953" width="16.75" style="13" customWidth="1"/>
    <col min="7954" max="7954" width="14.875" style="13" customWidth="1"/>
    <col min="7955" max="7955" width="19.625" style="13" bestFit="1" customWidth="1"/>
    <col min="7956" max="7956" width="21.875" style="13" customWidth="1"/>
    <col min="7957" max="8193" width="11" style="13"/>
    <col min="8194" max="8194" width="51" style="13" customWidth="1"/>
    <col min="8195" max="8195" width="19" style="13" customWidth="1"/>
    <col min="8196" max="8196" width="15.375" style="13" customWidth="1"/>
    <col min="8197" max="8197" width="14.5" style="13" customWidth="1"/>
    <col min="8198" max="8198" width="19.75" style="13" customWidth="1"/>
    <col min="8199" max="8199" width="20.5" style="13" customWidth="1"/>
    <col min="8200" max="8200" width="15.25" style="13" customWidth="1"/>
    <col min="8201" max="8201" width="15.625" style="13" customWidth="1"/>
    <col min="8202" max="8202" width="15.625" style="13" bestFit="1" customWidth="1"/>
    <col min="8203" max="8203" width="14.875" style="13" customWidth="1"/>
    <col min="8204" max="8204" width="15.625" style="13" bestFit="1" customWidth="1"/>
    <col min="8205" max="8205" width="15" style="13" customWidth="1"/>
    <col min="8206" max="8206" width="15.625" style="13" bestFit="1" customWidth="1"/>
    <col min="8207" max="8207" width="15.875" style="13" customWidth="1"/>
    <col min="8208" max="8208" width="16.25" style="13" customWidth="1"/>
    <col min="8209" max="8209" width="16.75" style="13" customWidth="1"/>
    <col min="8210" max="8210" width="14.875" style="13" customWidth="1"/>
    <col min="8211" max="8211" width="19.625" style="13" bestFit="1" customWidth="1"/>
    <col min="8212" max="8212" width="21.875" style="13" customWidth="1"/>
    <col min="8213" max="8449" width="11" style="13"/>
    <col min="8450" max="8450" width="51" style="13" customWidth="1"/>
    <col min="8451" max="8451" width="19" style="13" customWidth="1"/>
    <col min="8452" max="8452" width="15.375" style="13" customWidth="1"/>
    <col min="8453" max="8453" width="14.5" style="13" customWidth="1"/>
    <col min="8454" max="8454" width="19.75" style="13" customWidth="1"/>
    <col min="8455" max="8455" width="20.5" style="13" customWidth="1"/>
    <col min="8456" max="8456" width="15.25" style="13" customWidth="1"/>
    <col min="8457" max="8457" width="15.625" style="13" customWidth="1"/>
    <col min="8458" max="8458" width="15.625" style="13" bestFit="1" customWidth="1"/>
    <col min="8459" max="8459" width="14.875" style="13" customWidth="1"/>
    <col min="8460" max="8460" width="15.625" style="13" bestFit="1" customWidth="1"/>
    <col min="8461" max="8461" width="15" style="13" customWidth="1"/>
    <col min="8462" max="8462" width="15.625" style="13" bestFit="1" customWidth="1"/>
    <col min="8463" max="8463" width="15.875" style="13" customWidth="1"/>
    <col min="8464" max="8464" width="16.25" style="13" customWidth="1"/>
    <col min="8465" max="8465" width="16.75" style="13" customWidth="1"/>
    <col min="8466" max="8466" width="14.875" style="13" customWidth="1"/>
    <col min="8467" max="8467" width="19.625" style="13" bestFit="1" customWidth="1"/>
    <col min="8468" max="8468" width="21.875" style="13" customWidth="1"/>
    <col min="8469" max="8705" width="11" style="13"/>
    <col min="8706" max="8706" width="51" style="13" customWidth="1"/>
    <col min="8707" max="8707" width="19" style="13" customWidth="1"/>
    <col min="8708" max="8708" width="15.375" style="13" customWidth="1"/>
    <col min="8709" max="8709" width="14.5" style="13" customWidth="1"/>
    <col min="8710" max="8710" width="19.75" style="13" customWidth="1"/>
    <col min="8711" max="8711" width="20.5" style="13" customWidth="1"/>
    <col min="8712" max="8712" width="15.25" style="13" customWidth="1"/>
    <col min="8713" max="8713" width="15.625" style="13" customWidth="1"/>
    <col min="8714" max="8714" width="15.625" style="13" bestFit="1" customWidth="1"/>
    <col min="8715" max="8715" width="14.875" style="13" customWidth="1"/>
    <col min="8716" max="8716" width="15.625" style="13" bestFit="1" customWidth="1"/>
    <col min="8717" max="8717" width="15" style="13" customWidth="1"/>
    <col min="8718" max="8718" width="15.625" style="13" bestFit="1" customWidth="1"/>
    <col min="8719" max="8719" width="15.875" style="13" customWidth="1"/>
    <col min="8720" max="8720" width="16.25" style="13" customWidth="1"/>
    <col min="8721" max="8721" width="16.75" style="13" customWidth="1"/>
    <col min="8722" max="8722" width="14.875" style="13" customWidth="1"/>
    <col min="8723" max="8723" width="19.625" style="13" bestFit="1" customWidth="1"/>
    <col min="8724" max="8724" width="21.875" style="13" customWidth="1"/>
    <col min="8725" max="8961" width="11" style="13"/>
    <col min="8962" max="8962" width="51" style="13" customWidth="1"/>
    <col min="8963" max="8963" width="19" style="13" customWidth="1"/>
    <col min="8964" max="8964" width="15.375" style="13" customWidth="1"/>
    <col min="8965" max="8965" width="14.5" style="13" customWidth="1"/>
    <col min="8966" max="8966" width="19.75" style="13" customWidth="1"/>
    <col min="8967" max="8967" width="20.5" style="13" customWidth="1"/>
    <col min="8968" max="8968" width="15.25" style="13" customWidth="1"/>
    <col min="8969" max="8969" width="15.625" style="13" customWidth="1"/>
    <col min="8970" max="8970" width="15.625" style="13" bestFit="1" customWidth="1"/>
    <col min="8971" max="8971" width="14.875" style="13" customWidth="1"/>
    <col min="8972" max="8972" width="15.625" style="13" bestFit="1" customWidth="1"/>
    <col min="8973" max="8973" width="15" style="13" customWidth="1"/>
    <col min="8974" max="8974" width="15.625" style="13" bestFit="1" customWidth="1"/>
    <col min="8975" max="8975" width="15.875" style="13" customWidth="1"/>
    <col min="8976" max="8976" width="16.25" style="13" customWidth="1"/>
    <col min="8977" max="8977" width="16.75" style="13" customWidth="1"/>
    <col min="8978" max="8978" width="14.875" style="13" customWidth="1"/>
    <col min="8979" max="8979" width="19.625" style="13" bestFit="1" customWidth="1"/>
    <col min="8980" max="8980" width="21.875" style="13" customWidth="1"/>
    <col min="8981" max="9217" width="11" style="13"/>
    <col min="9218" max="9218" width="51" style="13" customWidth="1"/>
    <col min="9219" max="9219" width="19" style="13" customWidth="1"/>
    <col min="9220" max="9220" width="15.375" style="13" customWidth="1"/>
    <col min="9221" max="9221" width="14.5" style="13" customWidth="1"/>
    <col min="9222" max="9222" width="19.75" style="13" customWidth="1"/>
    <col min="9223" max="9223" width="20.5" style="13" customWidth="1"/>
    <col min="9224" max="9224" width="15.25" style="13" customWidth="1"/>
    <col min="9225" max="9225" width="15.625" style="13" customWidth="1"/>
    <col min="9226" max="9226" width="15.625" style="13" bestFit="1" customWidth="1"/>
    <col min="9227" max="9227" width="14.875" style="13" customWidth="1"/>
    <col min="9228" max="9228" width="15.625" style="13" bestFit="1" customWidth="1"/>
    <col min="9229" max="9229" width="15" style="13" customWidth="1"/>
    <col min="9230" max="9230" width="15.625" style="13" bestFit="1" customWidth="1"/>
    <col min="9231" max="9231" width="15.875" style="13" customWidth="1"/>
    <col min="9232" max="9232" width="16.25" style="13" customWidth="1"/>
    <col min="9233" max="9233" width="16.75" style="13" customWidth="1"/>
    <col min="9234" max="9234" width="14.875" style="13" customWidth="1"/>
    <col min="9235" max="9235" width="19.625" style="13" bestFit="1" customWidth="1"/>
    <col min="9236" max="9236" width="21.875" style="13" customWidth="1"/>
    <col min="9237" max="9473" width="11" style="13"/>
    <col min="9474" max="9474" width="51" style="13" customWidth="1"/>
    <col min="9475" max="9475" width="19" style="13" customWidth="1"/>
    <col min="9476" max="9476" width="15.375" style="13" customWidth="1"/>
    <col min="9477" max="9477" width="14.5" style="13" customWidth="1"/>
    <col min="9478" max="9478" width="19.75" style="13" customWidth="1"/>
    <col min="9479" max="9479" width="20.5" style="13" customWidth="1"/>
    <col min="9480" max="9480" width="15.25" style="13" customWidth="1"/>
    <col min="9481" max="9481" width="15.625" style="13" customWidth="1"/>
    <col min="9482" max="9482" width="15.625" style="13" bestFit="1" customWidth="1"/>
    <col min="9483" max="9483" width="14.875" style="13" customWidth="1"/>
    <col min="9484" max="9484" width="15.625" style="13" bestFit="1" customWidth="1"/>
    <col min="9485" max="9485" width="15" style="13" customWidth="1"/>
    <col min="9486" max="9486" width="15.625" style="13" bestFit="1" customWidth="1"/>
    <col min="9487" max="9487" width="15.875" style="13" customWidth="1"/>
    <col min="9488" max="9488" width="16.25" style="13" customWidth="1"/>
    <col min="9489" max="9489" width="16.75" style="13" customWidth="1"/>
    <col min="9490" max="9490" width="14.875" style="13" customWidth="1"/>
    <col min="9491" max="9491" width="19.625" style="13" bestFit="1" customWidth="1"/>
    <col min="9492" max="9492" width="21.875" style="13" customWidth="1"/>
    <col min="9493" max="9729" width="11" style="13"/>
    <col min="9730" max="9730" width="51" style="13" customWidth="1"/>
    <col min="9731" max="9731" width="19" style="13" customWidth="1"/>
    <col min="9732" max="9732" width="15.375" style="13" customWidth="1"/>
    <col min="9733" max="9733" width="14.5" style="13" customWidth="1"/>
    <col min="9734" max="9734" width="19.75" style="13" customWidth="1"/>
    <col min="9735" max="9735" width="20.5" style="13" customWidth="1"/>
    <col min="9736" max="9736" width="15.25" style="13" customWidth="1"/>
    <col min="9737" max="9737" width="15.625" style="13" customWidth="1"/>
    <col min="9738" max="9738" width="15.625" style="13" bestFit="1" customWidth="1"/>
    <col min="9739" max="9739" width="14.875" style="13" customWidth="1"/>
    <col min="9740" max="9740" width="15.625" style="13" bestFit="1" customWidth="1"/>
    <col min="9741" max="9741" width="15" style="13" customWidth="1"/>
    <col min="9742" max="9742" width="15.625" style="13" bestFit="1" customWidth="1"/>
    <col min="9743" max="9743" width="15.875" style="13" customWidth="1"/>
    <col min="9744" max="9744" width="16.25" style="13" customWidth="1"/>
    <col min="9745" max="9745" width="16.75" style="13" customWidth="1"/>
    <col min="9746" max="9746" width="14.875" style="13" customWidth="1"/>
    <col min="9747" max="9747" width="19.625" style="13" bestFit="1" customWidth="1"/>
    <col min="9748" max="9748" width="21.875" style="13" customWidth="1"/>
    <col min="9749" max="9985" width="11" style="13"/>
    <col min="9986" max="9986" width="51" style="13" customWidth="1"/>
    <col min="9987" max="9987" width="19" style="13" customWidth="1"/>
    <col min="9988" max="9988" width="15.375" style="13" customWidth="1"/>
    <col min="9989" max="9989" width="14.5" style="13" customWidth="1"/>
    <col min="9990" max="9990" width="19.75" style="13" customWidth="1"/>
    <col min="9991" max="9991" width="20.5" style="13" customWidth="1"/>
    <col min="9992" max="9992" width="15.25" style="13" customWidth="1"/>
    <col min="9993" max="9993" width="15.625" style="13" customWidth="1"/>
    <col min="9994" max="9994" width="15.625" style="13" bestFit="1" customWidth="1"/>
    <col min="9995" max="9995" width="14.875" style="13" customWidth="1"/>
    <col min="9996" max="9996" width="15.625" style="13" bestFit="1" customWidth="1"/>
    <col min="9997" max="9997" width="15" style="13" customWidth="1"/>
    <col min="9998" max="9998" width="15.625" style="13" bestFit="1" customWidth="1"/>
    <col min="9999" max="9999" width="15.875" style="13" customWidth="1"/>
    <col min="10000" max="10000" width="16.25" style="13" customWidth="1"/>
    <col min="10001" max="10001" width="16.75" style="13" customWidth="1"/>
    <col min="10002" max="10002" width="14.875" style="13" customWidth="1"/>
    <col min="10003" max="10003" width="19.625" style="13" bestFit="1" customWidth="1"/>
    <col min="10004" max="10004" width="21.875" style="13" customWidth="1"/>
    <col min="10005" max="10241" width="11" style="13"/>
    <col min="10242" max="10242" width="51" style="13" customWidth="1"/>
    <col min="10243" max="10243" width="19" style="13" customWidth="1"/>
    <col min="10244" max="10244" width="15.375" style="13" customWidth="1"/>
    <col min="10245" max="10245" width="14.5" style="13" customWidth="1"/>
    <col min="10246" max="10246" width="19.75" style="13" customWidth="1"/>
    <col min="10247" max="10247" width="20.5" style="13" customWidth="1"/>
    <col min="10248" max="10248" width="15.25" style="13" customWidth="1"/>
    <col min="10249" max="10249" width="15.625" style="13" customWidth="1"/>
    <col min="10250" max="10250" width="15.625" style="13" bestFit="1" customWidth="1"/>
    <col min="10251" max="10251" width="14.875" style="13" customWidth="1"/>
    <col min="10252" max="10252" width="15.625" style="13" bestFit="1" customWidth="1"/>
    <col min="10253" max="10253" width="15" style="13" customWidth="1"/>
    <col min="10254" max="10254" width="15.625" style="13" bestFit="1" customWidth="1"/>
    <col min="10255" max="10255" width="15.875" style="13" customWidth="1"/>
    <col min="10256" max="10256" width="16.25" style="13" customWidth="1"/>
    <col min="10257" max="10257" width="16.75" style="13" customWidth="1"/>
    <col min="10258" max="10258" width="14.875" style="13" customWidth="1"/>
    <col min="10259" max="10259" width="19.625" style="13" bestFit="1" customWidth="1"/>
    <col min="10260" max="10260" width="21.875" style="13" customWidth="1"/>
    <col min="10261" max="10497" width="11" style="13"/>
    <col min="10498" max="10498" width="51" style="13" customWidth="1"/>
    <col min="10499" max="10499" width="19" style="13" customWidth="1"/>
    <col min="10500" max="10500" width="15.375" style="13" customWidth="1"/>
    <col min="10501" max="10501" width="14.5" style="13" customWidth="1"/>
    <col min="10502" max="10502" width="19.75" style="13" customWidth="1"/>
    <col min="10503" max="10503" width="20.5" style="13" customWidth="1"/>
    <col min="10504" max="10504" width="15.25" style="13" customWidth="1"/>
    <col min="10505" max="10505" width="15.625" style="13" customWidth="1"/>
    <col min="10506" max="10506" width="15.625" style="13" bestFit="1" customWidth="1"/>
    <col min="10507" max="10507" width="14.875" style="13" customWidth="1"/>
    <col min="10508" max="10508" width="15.625" style="13" bestFit="1" customWidth="1"/>
    <col min="10509" max="10509" width="15" style="13" customWidth="1"/>
    <col min="10510" max="10510" width="15.625" style="13" bestFit="1" customWidth="1"/>
    <col min="10511" max="10511" width="15.875" style="13" customWidth="1"/>
    <col min="10512" max="10512" width="16.25" style="13" customWidth="1"/>
    <col min="10513" max="10513" width="16.75" style="13" customWidth="1"/>
    <col min="10514" max="10514" width="14.875" style="13" customWidth="1"/>
    <col min="10515" max="10515" width="19.625" style="13" bestFit="1" customWidth="1"/>
    <col min="10516" max="10516" width="21.875" style="13" customWidth="1"/>
    <col min="10517" max="10753" width="11" style="13"/>
    <col min="10754" max="10754" width="51" style="13" customWidth="1"/>
    <col min="10755" max="10755" width="19" style="13" customWidth="1"/>
    <col min="10756" max="10756" width="15.375" style="13" customWidth="1"/>
    <col min="10757" max="10757" width="14.5" style="13" customWidth="1"/>
    <col min="10758" max="10758" width="19.75" style="13" customWidth="1"/>
    <col min="10759" max="10759" width="20.5" style="13" customWidth="1"/>
    <col min="10760" max="10760" width="15.25" style="13" customWidth="1"/>
    <col min="10761" max="10761" width="15.625" style="13" customWidth="1"/>
    <col min="10762" max="10762" width="15.625" style="13" bestFit="1" customWidth="1"/>
    <col min="10763" max="10763" width="14.875" style="13" customWidth="1"/>
    <col min="10764" max="10764" width="15.625" style="13" bestFit="1" customWidth="1"/>
    <col min="10765" max="10765" width="15" style="13" customWidth="1"/>
    <col min="10766" max="10766" width="15.625" style="13" bestFit="1" customWidth="1"/>
    <col min="10767" max="10767" width="15.875" style="13" customWidth="1"/>
    <col min="10768" max="10768" width="16.25" style="13" customWidth="1"/>
    <col min="10769" max="10769" width="16.75" style="13" customWidth="1"/>
    <col min="10770" max="10770" width="14.875" style="13" customWidth="1"/>
    <col min="10771" max="10771" width="19.625" style="13" bestFit="1" customWidth="1"/>
    <col min="10772" max="10772" width="21.875" style="13" customWidth="1"/>
    <col min="10773" max="11009" width="11" style="13"/>
    <col min="11010" max="11010" width="51" style="13" customWidth="1"/>
    <col min="11011" max="11011" width="19" style="13" customWidth="1"/>
    <col min="11012" max="11012" width="15.375" style="13" customWidth="1"/>
    <col min="11013" max="11013" width="14.5" style="13" customWidth="1"/>
    <col min="11014" max="11014" width="19.75" style="13" customWidth="1"/>
    <col min="11015" max="11015" width="20.5" style="13" customWidth="1"/>
    <col min="11016" max="11016" width="15.25" style="13" customWidth="1"/>
    <col min="11017" max="11017" width="15.625" style="13" customWidth="1"/>
    <col min="11018" max="11018" width="15.625" style="13" bestFit="1" customWidth="1"/>
    <col min="11019" max="11019" width="14.875" style="13" customWidth="1"/>
    <col min="11020" max="11020" width="15.625" style="13" bestFit="1" customWidth="1"/>
    <col min="11021" max="11021" width="15" style="13" customWidth="1"/>
    <col min="11022" max="11022" width="15.625" style="13" bestFit="1" customWidth="1"/>
    <col min="11023" max="11023" width="15.875" style="13" customWidth="1"/>
    <col min="11024" max="11024" width="16.25" style="13" customWidth="1"/>
    <col min="11025" max="11025" width="16.75" style="13" customWidth="1"/>
    <col min="11026" max="11026" width="14.875" style="13" customWidth="1"/>
    <col min="11027" max="11027" width="19.625" style="13" bestFit="1" customWidth="1"/>
    <col min="11028" max="11028" width="21.875" style="13" customWidth="1"/>
    <col min="11029" max="11265" width="11" style="13"/>
    <col min="11266" max="11266" width="51" style="13" customWidth="1"/>
    <col min="11267" max="11267" width="19" style="13" customWidth="1"/>
    <col min="11268" max="11268" width="15.375" style="13" customWidth="1"/>
    <col min="11269" max="11269" width="14.5" style="13" customWidth="1"/>
    <col min="11270" max="11270" width="19.75" style="13" customWidth="1"/>
    <col min="11271" max="11271" width="20.5" style="13" customWidth="1"/>
    <col min="11272" max="11272" width="15.25" style="13" customWidth="1"/>
    <col min="11273" max="11273" width="15.625" style="13" customWidth="1"/>
    <col min="11274" max="11274" width="15.625" style="13" bestFit="1" customWidth="1"/>
    <col min="11275" max="11275" width="14.875" style="13" customWidth="1"/>
    <col min="11276" max="11276" width="15.625" style="13" bestFit="1" customWidth="1"/>
    <col min="11277" max="11277" width="15" style="13" customWidth="1"/>
    <col min="11278" max="11278" width="15.625" style="13" bestFit="1" customWidth="1"/>
    <col min="11279" max="11279" width="15.875" style="13" customWidth="1"/>
    <col min="11280" max="11280" width="16.25" style="13" customWidth="1"/>
    <col min="11281" max="11281" width="16.75" style="13" customWidth="1"/>
    <col min="11282" max="11282" width="14.875" style="13" customWidth="1"/>
    <col min="11283" max="11283" width="19.625" style="13" bestFit="1" customWidth="1"/>
    <col min="11284" max="11284" width="21.875" style="13" customWidth="1"/>
    <col min="11285" max="11521" width="11" style="13"/>
    <col min="11522" max="11522" width="51" style="13" customWidth="1"/>
    <col min="11523" max="11523" width="19" style="13" customWidth="1"/>
    <col min="11524" max="11524" width="15.375" style="13" customWidth="1"/>
    <col min="11525" max="11525" width="14.5" style="13" customWidth="1"/>
    <col min="11526" max="11526" width="19.75" style="13" customWidth="1"/>
    <col min="11527" max="11527" width="20.5" style="13" customWidth="1"/>
    <col min="11528" max="11528" width="15.25" style="13" customWidth="1"/>
    <col min="11529" max="11529" width="15.625" style="13" customWidth="1"/>
    <col min="11530" max="11530" width="15.625" style="13" bestFit="1" customWidth="1"/>
    <col min="11531" max="11531" width="14.875" style="13" customWidth="1"/>
    <col min="11532" max="11532" width="15.625" style="13" bestFit="1" customWidth="1"/>
    <col min="11533" max="11533" width="15" style="13" customWidth="1"/>
    <col min="11534" max="11534" width="15.625" style="13" bestFit="1" customWidth="1"/>
    <col min="11535" max="11535" width="15.875" style="13" customWidth="1"/>
    <col min="11536" max="11536" width="16.25" style="13" customWidth="1"/>
    <col min="11537" max="11537" width="16.75" style="13" customWidth="1"/>
    <col min="11538" max="11538" width="14.875" style="13" customWidth="1"/>
    <col min="11539" max="11539" width="19.625" style="13" bestFit="1" customWidth="1"/>
    <col min="11540" max="11540" width="21.875" style="13" customWidth="1"/>
    <col min="11541" max="11777" width="11" style="13"/>
    <col min="11778" max="11778" width="51" style="13" customWidth="1"/>
    <col min="11779" max="11779" width="19" style="13" customWidth="1"/>
    <col min="11780" max="11780" width="15.375" style="13" customWidth="1"/>
    <col min="11781" max="11781" width="14.5" style="13" customWidth="1"/>
    <col min="11782" max="11782" width="19.75" style="13" customWidth="1"/>
    <col min="11783" max="11783" width="20.5" style="13" customWidth="1"/>
    <col min="11784" max="11784" width="15.25" style="13" customWidth="1"/>
    <col min="11785" max="11785" width="15.625" style="13" customWidth="1"/>
    <col min="11786" max="11786" width="15.625" style="13" bestFit="1" customWidth="1"/>
    <col min="11787" max="11787" width="14.875" style="13" customWidth="1"/>
    <col min="11788" max="11788" width="15.625" style="13" bestFit="1" customWidth="1"/>
    <col min="11789" max="11789" width="15" style="13" customWidth="1"/>
    <col min="11790" max="11790" width="15.625" style="13" bestFit="1" customWidth="1"/>
    <col min="11791" max="11791" width="15.875" style="13" customWidth="1"/>
    <col min="11792" max="11792" width="16.25" style="13" customWidth="1"/>
    <col min="11793" max="11793" width="16.75" style="13" customWidth="1"/>
    <col min="11794" max="11794" width="14.875" style="13" customWidth="1"/>
    <col min="11795" max="11795" width="19.625" style="13" bestFit="1" customWidth="1"/>
    <col min="11796" max="11796" width="21.875" style="13" customWidth="1"/>
    <col min="11797" max="12033" width="11" style="13"/>
    <col min="12034" max="12034" width="51" style="13" customWidth="1"/>
    <col min="12035" max="12035" width="19" style="13" customWidth="1"/>
    <col min="12036" max="12036" width="15.375" style="13" customWidth="1"/>
    <col min="12037" max="12037" width="14.5" style="13" customWidth="1"/>
    <col min="12038" max="12038" width="19.75" style="13" customWidth="1"/>
    <col min="12039" max="12039" width="20.5" style="13" customWidth="1"/>
    <col min="12040" max="12040" width="15.25" style="13" customWidth="1"/>
    <col min="12041" max="12041" width="15.625" style="13" customWidth="1"/>
    <col min="12042" max="12042" width="15.625" style="13" bestFit="1" customWidth="1"/>
    <col min="12043" max="12043" width="14.875" style="13" customWidth="1"/>
    <col min="12044" max="12044" width="15.625" style="13" bestFit="1" customWidth="1"/>
    <col min="12045" max="12045" width="15" style="13" customWidth="1"/>
    <col min="12046" max="12046" width="15.625" style="13" bestFit="1" customWidth="1"/>
    <col min="12047" max="12047" width="15.875" style="13" customWidth="1"/>
    <col min="12048" max="12048" width="16.25" style="13" customWidth="1"/>
    <col min="12049" max="12049" width="16.75" style="13" customWidth="1"/>
    <col min="12050" max="12050" width="14.875" style="13" customWidth="1"/>
    <col min="12051" max="12051" width="19.625" style="13" bestFit="1" customWidth="1"/>
    <col min="12052" max="12052" width="21.875" style="13" customWidth="1"/>
    <col min="12053" max="12289" width="11" style="13"/>
    <col min="12290" max="12290" width="51" style="13" customWidth="1"/>
    <col min="12291" max="12291" width="19" style="13" customWidth="1"/>
    <col min="12292" max="12292" width="15.375" style="13" customWidth="1"/>
    <col min="12293" max="12293" width="14.5" style="13" customWidth="1"/>
    <col min="12294" max="12294" width="19.75" style="13" customWidth="1"/>
    <col min="12295" max="12295" width="20.5" style="13" customWidth="1"/>
    <col min="12296" max="12296" width="15.25" style="13" customWidth="1"/>
    <col min="12297" max="12297" width="15.625" style="13" customWidth="1"/>
    <col min="12298" max="12298" width="15.625" style="13" bestFit="1" customWidth="1"/>
    <col min="12299" max="12299" width="14.875" style="13" customWidth="1"/>
    <col min="12300" max="12300" width="15.625" style="13" bestFit="1" customWidth="1"/>
    <col min="12301" max="12301" width="15" style="13" customWidth="1"/>
    <col min="12302" max="12302" width="15.625" style="13" bestFit="1" customWidth="1"/>
    <col min="12303" max="12303" width="15.875" style="13" customWidth="1"/>
    <col min="12304" max="12304" width="16.25" style="13" customWidth="1"/>
    <col min="12305" max="12305" width="16.75" style="13" customWidth="1"/>
    <col min="12306" max="12306" width="14.875" style="13" customWidth="1"/>
    <col min="12307" max="12307" width="19.625" style="13" bestFit="1" customWidth="1"/>
    <col min="12308" max="12308" width="21.875" style="13" customWidth="1"/>
    <col min="12309" max="12545" width="11" style="13"/>
    <col min="12546" max="12546" width="51" style="13" customWidth="1"/>
    <col min="12547" max="12547" width="19" style="13" customWidth="1"/>
    <col min="12548" max="12548" width="15.375" style="13" customWidth="1"/>
    <col min="12549" max="12549" width="14.5" style="13" customWidth="1"/>
    <col min="12550" max="12550" width="19.75" style="13" customWidth="1"/>
    <col min="12551" max="12551" width="20.5" style="13" customWidth="1"/>
    <col min="12552" max="12552" width="15.25" style="13" customWidth="1"/>
    <col min="12553" max="12553" width="15.625" style="13" customWidth="1"/>
    <col min="12554" max="12554" width="15.625" style="13" bestFit="1" customWidth="1"/>
    <col min="12555" max="12555" width="14.875" style="13" customWidth="1"/>
    <col min="12556" max="12556" width="15.625" style="13" bestFit="1" customWidth="1"/>
    <col min="12557" max="12557" width="15" style="13" customWidth="1"/>
    <col min="12558" max="12558" width="15.625" style="13" bestFit="1" customWidth="1"/>
    <col min="12559" max="12559" width="15.875" style="13" customWidth="1"/>
    <col min="12560" max="12560" width="16.25" style="13" customWidth="1"/>
    <col min="12561" max="12561" width="16.75" style="13" customWidth="1"/>
    <col min="12562" max="12562" width="14.875" style="13" customWidth="1"/>
    <col min="12563" max="12563" width="19.625" style="13" bestFit="1" customWidth="1"/>
    <col min="12564" max="12564" width="21.875" style="13" customWidth="1"/>
    <col min="12565" max="12801" width="11" style="13"/>
    <col min="12802" max="12802" width="51" style="13" customWidth="1"/>
    <col min="12803" max="12803" width="19" style="13" customWidth="1"/>
    <col min="12804" max="12804" width="15.375" style="13" customWidth="1"/>
    <col min="12805" max="12805" width="14.5" style="13" customWidth="1"/>
    <col min="12806" max="12806" width="19.75" style="13" customWidth="1"/>
    <col min="12807" max="12807" width="20.5" style="13" customWidth="1"/>
    <col min="12808" max="12808" width="15.25" style="13" customWidth="1"/>
    <col min="12809" max="12809" width="15.625" style="13" customWidth="1"/>
    <col min="12810" max="12810" width="15.625" style="13" bestFit="1" customWidth="1"/>
    <col min="12811" max="12811" width="14.875" style="13" customWidth="1"/>
    <col min="12812" max="12812" width="15.625" style="13" bestFit="1" customWidth="1"/>
    <col min="12813" max="12813" width="15" style="13" customWidth="1"/>
    <col min="12814" max="12814" width="15.625" style="13" bestFit="1" customWidth="1"/>
    <col min="12815" max="12815" width="15.875" style="13" customWidth="1"/>
    <col min="12816" max="12816" width="16.25" style="13" customWidth="1"/>
    <col min="12817" max="12817" width="16.75" style="13" customWidth="1"/>
    <col min="12818" max="12818" width="14.875" style="13" customWidth="1"/>
    <col min="12819" max="12819" width="19.625" style="13" bestFit="1" customWidth="1"/>
    <col min="12820" max="12820" width="21.875" style="13" customWidth="1"/>
    <col min="12821" max="13057" width="11" style="13"/>
    <col min="13058" max="13058" width="51" style="13" customWidth="1"/>
    <col min="13059" max="13059" width="19" style="13" customWidth="1"/>
    <col min="13060" max="13060" width="15.375" style="13" customWidth="1"/>
    <col min="13061" max="13061" width="14.5" style="13" customWidth="1"/>
    <col min="13062" max="13062" width="19.75" style="13" customWidth="1"/>
    <col min="13063" max="13063" width="20.5" style="13" customWidth="1"/>
    <col min="13064" max="13064" width="15.25" style="13" customWidth="1"/>
    <col min="13065" max="13065" width="15.625" style="13" customWidth="1"/>
    <col min="13066" max="13066" width="15.625" style="13" bestFit="1" customWidth="1"/>
    <col min="13067" max="13067" width="14.875" style="13" customWidth="1"/>
    <col min="13068" max="13068" width="15.625" style="13" bestFit="1" customWidth="1"/>
    <col min="13069" max="13069" width="15" style="13" customWidth="1"/>
    <col min="13070" max="13070" width="15.625" style="13" bestFit="1" customWidth="1"/>
    <col min="13071" max="13071" width="15.875" style="13" customWidth="1"/>
    <col min="13072" max="13072" width="16.25" style="13" customWidth="1"/>
    <col min="13073" max="13073" width="16.75" style="13" customWidth="1"/>
    <col min="13074" max="13074" width="14.875" style="13" customWidth="1"/>
    <col min="13075" max="13075" width="19.625" style="13" bestFit="1" customWidth="1"/>
    <col min="13076" max="13076" width="21.875" style="13" customWidth="1"/>
    <col min="13077" max="13313" width="11" style="13"/>
    <col min="13314" max="13314" width="51" style="13" customWidth="1"/>
    <col min="13315" max="13315" width="19" style="13" customWidth="1"/>
    <col min="13316" max="13316" width="15.375" style="13" customWidth="1"/>
    <col min="13317" max="13317" width="14.5" style="13" customWidth="1"/>
    <col min="13318" max="13318" width="19.75" style="13" customWidth="1"/>
    <col min="13319" max="13319" width="20.5" style="13" customWidth="1"/>
    <col min="13320" max="13320" width="15.25" style="13" customWidth="1"/>
    <col min="13321" max="13321" width="15.625" style="13" customWidth="1"/>
    <col min="13322" max="13322" width="15.625" style="13" bestFit="1" customWidth="1"/>
    <col min="13323" max="13323" width="14.875" style="13" customWidth="1"/>
    <col min="13324" max="13324" width="15.625" style="13" bestFit="1" customWidth="1"/>
    <col min="13325" max="13325" width="15" style="13" customWidth="1"/>
    <col min="13326" max="13326" width="15.625" style="13" bestFit="1" customWidth="1"/>
    <col min="13327" max="13327" width="15.875" style="13" customWidth="1"/>
    <col min="13328" max="13328" width="16.25" style="13" customWidth="1"/>
    <col min="13329" max="13329" width="16.75" style="13" customWidth="1"/>
    <col min="13330" max="13330" width="14.875" style="13" customWidth="1"/>
    <col min="13331" max="13331" width="19.625" style="13" bestFit="1" customWidth="1"/>
    <col min="13332" max="13332" width="21.875" style="13" customWidth="1"/>
    <col min="13333" max="13569" width="11" style="13"/>
    <col min="13570" max="13570" width="51" style="13" customWidth="1"/>
    <col min="13571" max="13571" width="19" style="13" customWidth="1"/>
    <col min="13572" max="13572" width="15.375" style="13" customWidth="1"/>
    <col min="13573" max="13573" width="14.5" style="13" customWidth="1"/>
    <col min="13574" max="13574" width="19.75" style="13" customWidth="1"/>
    <col min="13575" max="13575" width="20.5" style="13" customWidth="1"/>
    <col min="13576" max="13576" width="15.25" style="13" customWidth="1"/>
    <col min="13577" max="13577" width="15.625" style="13" customWidth="1"/>
    <col min="13578" max="13578" width="15.625" style="13" bestFit="1" customWidth="1"/>
    <col min="13579" max="13579" width="14.875" style="13" customWidth="1"/>
    <col min="13580" max="13580" width="15.625" style="13" bestFit="1" customWidth="1"/>
    <col min="13581" max="13581" width="15" style="13" customWidth="1"/>
    <col min="13582" max="13582" width="15.625" style="13" bestFit="1" customWidth="1"/>
    <col min="13583" max="13583" width="15.875" style="13" customWidth="1"/>
    <col min="13584" max="13584" width="16.25" style="13" customWidth="1"/>
    <col min="13585" max="13585" width="16.75" style="13" customWidth="1"/>
    <col min="13586" max="13586" width="14.875" style="13" customWidth="1"/>
    <col min="13587" max="13587" width="19.625" style="13" bestFit="1" customWidth="1"/>
    <col min="13588" max="13588" width="21.875" style="13" customWidth="1"/>
    <col min="13589" max="13825" width="11" style="13"/>
    <col min="13826" max="13826" width="51" style="13" customWidth="1"/>
    <col min="13827" max="13827" width="19" style="13" customWidth="1"/>
    <col min="13828" max="13828" width="15.375" style="13" customWidth="1"/>
    <col min="13829" max="13829" width="14.5" style="13" customWidth="1"/>
    <col min="13830" max="13830" width="19.75" style="13" customWidth="1"/>
    <col min="13831" max="13831" width="20.5" style="13" customWidth="1"/>
    <col min="13832" max="13832" width="15.25" style="13" customWidth="1"/>
    <col min="13833" max="13833" width="15.625" style="13" customWidth="1"/>
    <col min="13834" max="13834" width="15.625" style="13" bestFit="1" customWidth="1"/>
    <col min="13835" max="13835" width="14.875" style="13" customWidth="1"/>
    <col min="13836" max="13836" width="15.625" style="13" bestFit="1" customWidth="1"/>
    <col min="13837" max="13837" width="15" style="13" customWidth="1"/>
    <col min="13838" max="13838" width="15.625" style="13" bestFit="1" customWidth="1"/>
    <col min="13839" max="13839" width="15.875" style="13" customWidth="1"/>
    <col min="13840" max="13840" width="16.25" style="13" customWidth="1"/>
    <col min="13841" max="13841" width="16.75" style="13" customWidth="1"/>
    <col min="13842" max="13842" width="14.875" style="13" customWidth="1"/>
    <col min="13843" max="13843" width="19.625" style="13" bestFit="1" customWidth="1"/>
    <col min="13844" max="13844" width="21.875" style="13" customWidth="1"/>
    <col min="13845" max="14081" width="11" style="13"/>
    <col min="14082" max="14082" width="51" style="13" customWidth="1"/>
    <col min="14083" max="14083" width="19" style="13" customWidth="1"/>
    <col min="14084" max="14084" width="15.375" style="13" customWidth="1"/>
    <col min="14085" max="14085" width="14.5" style="13" customWidth="1"/>
    <col min="14086" max="14086" width="19.75" style="13" customWidth="1"/>
    <col min="14087" max="14087" width="20.5" style="13" customWidth="1"/>
    <col min="14088" max="14088" width="15.25" style="13" customWidth="1"/>
    <col min="14089" max="14089" width="15.625" style="13" customWidth="1"/>
    <col min="14090" max="14090" width="15.625" style="13" bestFit="1" customWidth="1"/>
    <col min="14091" max="14091" width="14.875" style="13" customWidth="1"/>
    <col min="14092" max="14092" width="15.625" style="13" bestFit="1" customWidth="1"/>
    <col min="14093" max="14093" width="15" style="13" customWidth="1"/>
    <col min="14094" max="14094" width="15.625" style="13" bestFit="1" customWidth="1"/>
    <col min="14095" max="14095" width="15.875" style="13" customWidth="1"/>
    <col min="14096" max="14096" width="16.25" style="13" customWidth="1"/>
    <col min="14097" max="14097" width="16.75" style="13" customWidth="1"/>
    <col min="14098" max="14098" width="14.875" style="13" customWidth="1"/>
    <col min="14099" max="14099" width="19.625" style="13" bestFit="1" customWidth="1"/>
    <col min="14100" max="14100" width="21.875" style="13" customWidth="1"/>
    <col min="14101" max="14337" width="11" style="13"/>
    <col min="14338" max="14338" width="51" style="13" customWidth="1"/>
    <col min="14339" max="14339" width="19" style="13" customWidth="1"/>
    <col min="14340" max="14340" width="15.375" style="13" customWidth="1"/>
    <col min="14341" max="14341" width="14.5" style="13" customWidth="1"/>
    <col min="14342" max="14342" width="19.75" style="13" customWidth="1"/>
    <col min="14343" max="14343" width="20.5" style="13" customWidth="1"/>
    <col min="14344" max="14344" width="15.25" style="13" customWidth="1"/>
    <col min="14345" max="14345" width="15.625" style="13" customWidth="1"/>
    <col min="14346" max="14346" width="15.625" style="13" bestFit="1" customWidth="1"/>
    <col min="14347" max="14347" width="14.875" style="13" customWidth="1"/>
    <col min="14348" max="14348" width="15.625" style="13" bestFit="1" customWidth="1"/>
    <col min="14349" max="14349" width="15" style="13" customWidth="1"/>
    <col min="14350" max="14350" width="15.625" style="13" bestFit="1" customWidth="1"/>
    <col min="14351" max="14351" width="15.875" style="13" customWidth="1"/>
    <col min="14352" max="14352" width="16.25" style="13" customWidth="1"/>
    <col min="14353" max="14353" width="16.75" style="13" customWidth="1"/>
    <col min="14354" max="14354" width="14.875" style="13" customWidth="1"/>
    <col min="14355" max="14355" width="19.625" style="13" bestFit="1" customWidth="1"/>
    <col min="14356" max="14356" width="21.875" style="13" customWidth="1"/>
    <col min="14357" max="14593" width="11" style="13"/>
    <col min="14594" max="14594" width="51" style="13" customWidth="1"/>
    <col min="14595" max="14595" width="19" style="13" customWidth="1"/>
    <col min="14596" max="14596" width="15.375" style="13" customWidth="1"/>
    <col min="14597" max="14597" width="14.5" style="13" customWidth="1"/>
    <col min="14598" max="14598" width="19.75" style="13" customWidth="1"/>
    <col min="14599" max="14599" width="20.5" style="13" customWidth="1"/>
    <col min="14600" max="14600" width="15.25" style="13" customWidth="1"/>
    <col min="14601" max="14601" width="15.625" style="13" customWidth="1"/>
    <col min="14602" max="14602" width="15.625" style="13" bestFit="1" customWidth="1"/>
    <col min="14603" max="14603" width="14.875" style="13" customWidth="1"/>
    <col min="14604" max="14604" width="15.625" style="13" bestFit="1" customWidth="1"/>
    <col min="14605" max="14605" width="15" style="13" customWidth="1"/>
    <col min="14606" max="14606" width="15.625" style="13" bestFit="1" customWidth="1"/>
    <col min="14607" max="14607" width="15.875" style="13" customWidth="1"/>
    <col min="14608" max="14608" width="16.25" style="13" customWidth="1"/>
    <col min="14609" max="14609" width="16.75" style="13" customWidth="1"/>
    <col min="14610" max="14610" width="14.875" style="13" customWidth="1"/>
    <col min="14611" max="14611" width="19.625" style="13" bestFit="1" customWidth="1"/>
    <col min="14612" max="14612" width="21.875" style="13" customWidth="1"/>
    <col min="14613" max="14849" width="11" style="13"/>
    <col min="14850" max="14850" width="51" style="13" customWidth="1"/>
    <col min="14851" max="14851" width="19" style="13" customWidth="1"/>
    <col min="14852" max="14852" width="15.375" style="13" customWidth="1"/>
    <col min="14853" max="14853" width="14.5" style="13" customWidth="1"/>
    <col min="14854" max="14854" width="19.75" style="13" customWidth="1"/>
    <col min="14855" max="14855" width="20.5" style="13" customWidth="1"/>
    <col min="14856" max="14856" width="15.25" style="13" customWidth="1"/>
    <col min="14857" max="14857" width="15.625" style="13" customWidth="1"/>
    <col min="14858" max="14858" width="15.625" style="13" bestFit="1" customWidth="1"/>
    <col min="14859" max="14859" width="14.875" style="13" customWidth="1"/>
    <col min="14860" max="14860" width="15.625" style="13" bestFit="1" customWidth="1"/>
    <col min="14861" max="14861" width="15" style="13" customWidth="1"/>
    <col min="14862" max="14862" width="15.625" style="13" bestFit="1" customWidth="1"/>
    <col min="14863" max="14863" width="15.875" style="13" customWidth="1"/>
    <col min="14864" max="14864" width="16.25" style="13" customWidth="1"/>
    <col min="14865" max="14865" width="16.75" style="13" customWidth="1"/>
    <col min="14866" max="14866" width="14.875" style="13" customWidth="1"/>
    <col min="14867" max="14867" width="19.625" style="13" bestFit="1" customWidth="1"/>
    <col min="14868" max="14868" width="21.875" style="13" customWidth="1"/>
    <col min="14869" max="15105" width="11" style="13"/>
    <col min="15106" max="15106" width="51" style="13" customWidth="1"/>
    <col min="15107" max="15107" width="19" style="13" customWidth="1"/>
    <col min="15108" max="15108" width="15.375" style="13" customWidth="1"/>
    <col min="15109" max="15109" width="14.5" style="13" customWidth="1"/>
    <col min="15110" max="15110" width="19.75" style="13" customWidth="1"/>
    <col min="15111" max="15111" width="20.5" style="13" customWidth="1"/>
    <col min="15112" max="15112" width="15.25" style="13" customWidth="1"/>
    <col min="15113" max="15113" width="15.625" style="13" customWidth="1"/>
    <col min="15114" max="15114" width="15.625" style="13" bestFit="1" customWidth="1"/>
    <col min="15115" max="15115" width="14.875" style="13" customWidth="1"/>
    <col min="15116" max="15116" width="15.625" style="13" bestFit="1" customWidth="1"/>
    <col min="15117" max="15117" width="15" style="13" customWidth="1"/>
    <col min="15118" max="15118" width="15.625" style="13" bestFit="1" customWidth="1"/>
    <col min="15119" max="15119" width="15.875" style="13" customWidth="1"/>
    <col min="15120" max="15120" width="16.25" style="13" customWidth="1"/>
    <col min="15121" max="15121" width="16.75" style="13" customWidth="1"/>
    <col min="15122" max="15122" width="14.875" style="13" customWidth="1"/>
    <col min="15123" max="15123" width="19.625" style="13" bestFit="1" customWidth="1"/>
    <col min="15124" max="15124" width="21.875" style="13" customWidth="1"/>
    <col min="15125" max="15361" width="11" style="13"/>
    <col min="15362" max="15362" width="51" style="13" customWidth="1"/>
    <col min="15363" max="15363" width="19" style="13" customWidth="1"/>
    <col min="15364" max="15364" width="15.375" style="13" customWidth="1"/>
    <col min="15365" max="15365" width="14.5" style="13" customWidth="1"/>
    <col min="15366" max="15366" width="19.75" style="13" customWidth="1"/>
    <col min="15367" max="15367" width="20.5" style="13" customWidth="1"/>
    <col min="15368" max="15368" width="15.25" style="13" customWidth="1"/>
    <col min="15369" max="15369" width="15.625" style="13" customWidth="1"/>
    <col min="15370" max="15370" width="15.625" style="13" bestFit="1" customWidth="1"/>
    <col min="15371" max="15371" width="14.875" style="13" customWidth="1"/>
    <col min="15372" max="15372" width="15.625" style="13" bestFit="1" customWidth="1"/>
    <col min="15373" max="15373" width="15" style="13" customWidth="1"/>
    <col min="15374" max="15374" width="15.625" style="13" bestFit="1" customWidth="1"/>
    <col min="15375" max="15375" width="15.875" style="13" customWidth="1"/>
    <col min="15376" max="15376" width="16.25" style="13" customWidth="1"/>
    <col min="15377" max="15377" width="16.75" style="13" customWidth="1"/>
    <col min="15378" max="15378" width="14.875" style="13" customWidth="1"/>
    <col min="15379" max="15379" width="19.625" style="13" bestFit="1" customWidth="1"/>
    <col min="15380" max="15380" width="21.875" style="13" customWidth="1"/>
    <col min="15381" max="15617" width="11" style="13"/>
    <col min="15618" max="15618" width="51" style="13" customWidth="1"/>
    <col min="15619" max="15619" width="19" style="13" customWidth="1"/>
    <col min="15620" max="15620" width="15.375" style="13" customWidth="1"/>
    <col min="15621" max="15621" width="14.5" style="13" customWidth="1"/>
    <col min="15622" max="15622" width="19.75" style="13" customWidth="1"/>
    <col min="15623" max="15623" width="20.5" style="13" customWidth="1"/>
    <col min="15624" max="15624" width="15.25" style="13" customWidth="1"/>
    <col min="15625" max="15625" width="15.625" style="13" customWidth="1"/>
    <col min="15626" max="15626" width="15.625" style="13" bestFit="1" customWidth="1"/>
    <col min="15627" max="15627" width="14.875" style="13" customWidth="1"/>
    <col min="15628" max="15628" width="15.625" style="13" bestFit="1" customWidth="1"/>
    <col min="15629" max="15629" width="15" style="13" customWidth="1"/>
    <col min="15630" max="15630" width="15.625" style="13" bestFit="1" customWidth="1"/>
    <col min="15631" max="15631" width="15.875" style="13" customWidth="1"/>
    <col min="15632" max="15632" width="16.25" style="13" customWidth="1"/>
    <col min="15633" max="15633" width="16.75" style="13" customWidth="1"/>
    <col min="15634" max="15634" width="14.875" style="13" customWidth="1"/>
    <col min="15635" max="15635" width="19.625" style="13" bestFit="1" customWidth="1"/>
    <col min="15636" max="15636" width="21.875" style="13" customWidth="1"/>
    <col min="15637" max="15873" width="11" style="13"/>
    <col min="15874" max="15874" width="51" style="13" customWidth="1"/>
    <col min="15875" max="15875" width="19" style="13" customWidth="1"/>
    <col min="15876" max="15876" width="15.375" style="13" customWidth="1"/>
    <col min="15877" max="15877" width="14.5" style="13" customWidth="1"/>
    <col min="15878" max="15878" width="19.75" style="13" customWidth="1"/>
    <col min="15879" max="15879" width="20.5" style="13" customWidth="1"/>
    <col min="15880" max="15880" width="15.25" style="13" customWidth="1"/>
    <col min="15881" max="15881" width="15.625" style="13" customWidth="1"/>
    <col min="15882" max="15882" width="15.625" style="13" bestFit="1" customWidth="1"/>
    <col min="15883" max="15883" width="14.875" style="13" customWidth="1"/>
    <col min="15884" max="15884" width="15.625" style="13" bestFit="1" customWidth="1"/>
    <col min="15885" max="15885" width="15" style="13" customWidth="1"/>
    <col min="15886" max="15886" width="15.625" style="13" bestFit="1" customWidth="1"/>
    <col min="15887" max="15887" width="15.875" style="13" customWidth="1"/>
    <col min="15888" max="15888" width="16.25" style="13" customWidth="1"/>
    <col min="15889" max="15889" width="16.75" style="13" customWidth="1"/>
    <col min="15890" max="15890" width="14.875" style="13" customWidth="1"/>
    <col min="15891" max="15891" width="19.625" style="13" bestFit="1" customWidth="1"/>
    <col min="15892" max="15892" width="21.875" style="13" customWidth="1"/>
    <col min="15893" max="16129" width="11" style="13"/>
    <col min="16130" max="16130" width="51" style="13" customWidth="1"/>
    <col min="16131" max="16131" width="19" style="13" customWidth="1"/>
    <col min="16132" max="16132" width="15.375" style="13" customWidth="1"/>
    <col min="16133" max="16133" width="14.5" style="13" customWidth="1"/>
    <col min="16134" max="16134" width="19.75" style="13" customWidth="1"/>
    <col min="16135" max="16135" width="20.5" style="13" customWidth="1"/>
    <col min="16136" max="16136" width="15.25" style="13" customWidth="1"/>
    <col min="16137" max="16137" width="15.625" style="13" customWidth="1"/>
    <col min="16138" max="16138" width="15.625" style="13" bestFit="1" customWidth="1"/>
    <col min="16139" max="16139" width="14.875" style="13" customWidth="1"/>
    <col min="16140" max="16140" width="15.625" style="13" bestFit="1" customWidth="1"/>
    <col min="16141" max="16141" width="15" style="13" customWidth="1"/>
    <col min="16142" max="16142" width="15.625" style="13" bestFit="1" customWidth="1"/>
    <col min="16143" max="16143" width="15.875" style="13" customWidth="1"/>
    <col min="16144" max="16144" width="16.25" style="13" customWidth="1"/>
    <col min="16145" max="16145" width="16.75" style="13" customWidth="1"/>
    <col min="16146" max="16146" width="14.875" style="13" customWidth="1"/>
    <col min="16147" max="16147" width="19.625" style="13" bestFit="1" customWidth="1"/>
    <col min="16148" max="16148" width="21.875" style="13" customWidth="1"/>
    <col min="16149" max="16384" width="11" style="13"/>
  </cols>
  <sheetData>
    <row r="1" spans="1:22">
      <c r="A1" s="421"/>
      <c r="B1" s="422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4"/>
    </row>
    <row r="2" spans="1:22">
      <c r="A2" s="421"/>
      <c r="B2" s="662" t="s">
        <v>0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4"/>
      <c r="U2" s="12"/>
    </row>
    <row r="3" spans="1:22">
      <c r="A3" s="421"/>
      <c r="B3" s="662" t="s">
        <v>175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4"/>
      <c r="U3" s="12"/>
    </row>
    <row r="4" spans="1:22" ht="13.5" thickBot="1">
      <c r="A4" s="421"/>
      <c r="B4" s="665" t="s">
        <v>98</v>
      </c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7"/>
      <c r="U4" s="12"/>
    </row>
    <row r="5" spans="1:22">
      <c r="A5" s="421"/>
      <c r="B5" s="425" t="s">
        <v>99</v>
      </c>
      <c r="C5" s="425" t="s">
        <v>100</v>
      </c>
      <c r="D5" s="426"/>
      <c r="E5" s="427" t="s">
        <v>101</v>
      </c>
      <c r="F5" s="426" t="s">
        <v>102</v>
      </c>
      <c r="G5" s="427" t="s">
        <v>103</v>
      </c>
      <c r="H5" s="426" t="s">
        <v>104</v>
      </c>
      <c r="I5" s="427" t="s">
        <v>105</v>
      </c>
      <c r="J5" s="426" t="s">
        <v>106</v>
      </c>
      <c r="K5" s="427" t="s">
        <v>107</v>
      </c>
      <c r="L5" s="426" t="s">
        <v>108</v>
      </c>
      <c r="M5" s="427" t="s">
        <v>109</v>
      </c>
      <c r="N5" s="426" t="s">
        <v>110</v>
      </c>
      <c r="O5" s="427" t="s">
        <v>111</v>
      </c>
      <c r="P5" s="426" t="s">
        <v>112</v>
      </c>
      <c r="Q5" s="427" t="s">
        <v>113</v>
      </c>
      <c r="R5" s="426" t="s">
        <v>114</v>
      </c>
      <c r="S5" s="427" t="s">
        <v>115</v>
      </c>
      <c r="T5" s="426" t="s">
        <v>116</v>
      </c>
    </row>
    <row r="6" spans="1:22" ht="13.5" thickBot="1">
      <c r="A6" s="421"/>
      <c r="B6" s="428"/>
      <c r="C6" s="429" t="s">
        <v>3</v>
      </c>
      <c r="D6" s="430"/>
      <c r="E6" s="431"/>
      <c r="F6" s="430" t="s">
        <v>117</v>
      </c>
      <c r="G6" s="432" t="s">
        <v>118</v>
      </c>
      <c r="H6" s="433"/>
      <c r="I6" s="434"/>
      <c r="J6" s="433"/>
      <c r="K6" s="434"/>
      <c r="L6" s="433"/>
      <c r="M6" s="434"/>
      <c r="N6" s="433"/>
      <c r="O6" s="434"/>
      <c r="P6" s="433"/>
      <c r="Q6" s="434"/>
      <c r="R6" s="433"/>
      <c r="S6" s="434"/>
      <c r="T6" s="433"/>
    </row>
    <row r="7" spans="1:22">
      <c r="A7" s="421"/>
      <c r="B7" s="435"/>
      <c r="C7" s="436"/>
      <c r="D7" s="437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8"/>
    </row>
    <row r="8" spans="1:22">
      <c r="A8" s="421"/>
      <c r="B8" s="439" t="s">
        <v>119</v>
      </c>
      <c r="C8" s="440">
        <v>1155126065</v>
      </c>
      <c r="D8" s="441"/>
      <c r="E8" s="442"/>
      <c r="F8" s="442"/>
      <c r="G8" s="443">
        <f>E8-F8+C8</f>
        <v>1155126065</v>
      </c>
      <c r="H8" s="442">
        <v>165126065</v>
      </c>
      <c r="I8" s="442">
        <v>90000000</v>
      </c>
      <c r="J8" s="442">
        <v>90000000</v>
      </c>
      <c r="K8" s="442">
        <v>90000000</v>
      </c>
      <c r="L8" s="442">
        <v>90000000</v>
      </c>
      <c r="M8" s="442">
        <v>90000000</v>
      </c>
      <c r="N8" s="442">
        <v>90000000</v>
      </c>
      <c r="O8" s="442">
        <v>90000000</v>
      </c>
      <c r="P8" s="442">
        <v>90000000</v>
      </c>
      <c r="Q8" s="442">
        <v>90000000</v>
      </c>
      <c r="R8" s="442">
        <v>90000000</v>
      </c>
      <c r="S8" s="442">
        <v>90000000</v>
      </c>
      <c r="T8" s="444">
        <f>H8+I8+J8+K8+L8+M8+N8+O8+P8+Q8+R8+S8</f>
        <v>1155126065</v>
      </c>
      <c r="U8" s="26">
        <f>G8-T8</f>
        <v>0</v>
      </c>
    </row>
    <row r="9" spans="1:22">
      <c r="A9" s="421"/>
      <c r="B9" s="439" t="s">
        <v>120</v>
      </c>
      <c r="C9" s="445">
        <v>0</v>
      </c>
      <c r="D9" s="441"/>
      <c r="E9" s="446"/>
      <c r="F9" s="442">
        <v>0</v>
      </c>
      <c r="G9" s="442">
        <f>E9-F9</f>
        <v>0</v>
      </c>
      <c r="H9" s="442">
        <f t="shared" ref="H9:S12" si="0">F9-G9</f>
        <v>0</v>
      </c>
      <c r="I9" s="442">
        <f t="shared" si="0"/>
        <v>0</v>
      </c>
      <c r="J9" s="442">
        <f t="shared" si="0"/>
        <v>0</v>
      </c>
      <c r="K9" s="442">
        <f t="shared" si="0"/>
        <v>0</v>
      </c>
      <c r="L9" s="442">
        <f t="shared" si="0"/>
        <v>0</v>
      </c>
      <c r="M9" s="442">
        <f t="shared" si="0"/>
        <v>0</v>
      </c>
      <c r="N9" s="442">
        <f t="shared" si="0"/>
        <v>0</v>
      </c>
      <c r="O9" s="442">
        <f t="shared" si="0"/>
        <v>0</v>
      </c>
      <c r="P9" s="442">
        <f t="shared" si="0"/>
        <v>0</v>
      </c>
      <c r="Q9" s="442">
        <f t="shared" si="0"/>
        <v>0</v>
      </c>
      <c r="R9" s="442">
        <f t="shared" si="0"/>
        <v>0</v>
      </c>
      <c r="S9" s="442">
        <f t="shared" si="0"/>
        <v>0</v>
      </c>
      <c r="T9" s="447">
        <f>H9+I9+J9+K9+L9+M9+N9+O9+P9+Q9+R9+S9</f>
        <v>0</v>
      </c>
    </row>
    <row r="10" spans="1:22">
      <c r="A10" s="421"/>
      <c r="B10" s="439" t="s">
        <v>121</v>
      </c>
      <c r="C10" s="445">
        <v>0</v>
      </c>
      <c r="D10" s="441"/>
      <c r="E10" s="446"/>
      <c r="F10" s="442">
        <v>0</v>
      </c>
      <c r="G10" s="442">
        <f>E10-F10</f>
        <v>0</v>
      </c>
      <c r="H10" s="442">
        <f t="shared" si="0"/>
        <v>0</v>
      </c>
      <c r="I10" s="442">
        <f t="shared" si="0"/>
        <v>0</v>
      </c>
      <c r="J10" s="442">
        <f t="shared" si="0"/>
        <v>0</v>
      </c>
      <c r="K10" s="442">
        <f t="shared" si="0"/>
        <v>0</v>
      </c>
      <c r="L10" s="442">
        <f t="shared" si="0"/>
        <v>0</v>
      </c>
      <c r="M10" s="442">
        <f t="shared" si="0"/>
        <v>0</v>
      </c>
      <c r="N10" s="442">
        <f t="shared" si="0"/>
        <v>0</v>
      </c>
      <c r="O10" s="442">
        <f t="shared" si="0"/>
        <v>0</v>
      </c>
      <c r="P10" s="442">
        <f t="shared" si="0"/>
        <v>0</v>
      </c>
      <c r="Q10" s="442">
        <f t="shared" si="0"/>
        <v>0</v>
      </c>
      <c r="R10" s="442">
        <f t="shared" si="0"/>
        <v>0</v>
      </c>
      <c r="S10" s="442">
        <f t="shared" si="0"/>
        <v>0</v>
      </c>
      <c r="T10" s="447">
        <f>H10+I10+J10+K10+L10+M10+N10+O10+P10+Q10+R10+S10</f>
        <v>0</v>
      </c>
    </row>
    <row r="11" spans="1:22">
      <c r="A11" s="421"/>
      <c r="B11" s="439" t="s">
        <v>122</v>
      </c>
      <c r="C11" s="445">
        <v>0</v>
      </c>
      <c r="D11" s="441"/>
      <c r="E11" s="446"/>
      <c r="F11" s="442">
        <v>0</v>
      </c>
      <c r="G11" s="442">
        <f>E11-F11</f>
        <v>0</v>
      </c>
      <c r="H11" s="442">
        <f t="shared" si="0"/>
        <v>0</v>
      </c>
      <c r="I11" s="442">
        <f t="shared" si="0"/>
        <v>0</v>
      </c>
      <c r="J11" s="442">
        <f t="shared" si="0"/>
        <v>0</v>
      </c>
      <c r="K11" s="442">
        <f t="shared" si="0"/>
        <v>0</v>
      </c>
      <c r="L11" s="442">
        <f t="shared" si="0"/>
        <v>0</v>
      </c>
      <c r="M11" s="442">
        <f t="shared" si="0"/>
        <v>0</v>
      </c>
      <c r="N11" s="442">
        <f t="shared" si="0"/>
        <v>0</v>
      </c>
      <c r="O11" s="442">
        <f t="shared" si="0"/>
        <v>0</v>
      </c>
      <c r="P11" s="442">
        <f t="shared" si="0"/>
        <v>0</v>
      </c>
      <c r="Q11" s="442">
        <f t="shared" si="0"/>
        <v>0</v>
      </c>
      <c r="R11" s="442">
        <f t="shared" si="0"/>
        <v>0</v>
      </c>
      <c r="S11" s="442">
        <f t="shared" si="0"/>
        <v>0</v>
      </c>
      <c r="T11" s="447">
        <f>H11+I11+J11+K11+L11+M11+N11+O11+P11+Q11+R11+S11</f>
        <v>0</v>
      </c>
    </row>
    <row r="12" spans="1:22">
      <c r="A12" s="421"/>
      <c r="B12" s="439" t="s">
        <v>123</v>
      </c>
      <c r="C12" s="445">
        <v>0</v>
      </c>
      <c r="D12" s="441"/>
      <c r="E12" s="446"/>
      <c r="F12" s="442">
        <v>0</v>
      </c>
      <c r="G12" s="442">
        <f>E12-F12</f>
        <v>0</v>
      </c>
      <c r="H12" s="442">
        <f t="shared" si="0"/>
        <v>0</v>
      </c>
      <c r="I12" s="442">
        <f t="shared" si="0"/>
        <v>0</v>
      </c>
      <c r="J12" s="442">
        <f t="shared" si="0"/>
        <v>0</v>
      </c>
      <c r="K12" s="442">
        <f t="shared" si="0"/>
        <v>0</v>
      </c>
      <c r="L12" s="442">
        <f t="shared" si="0"/>
        <v>0</v>
      </c>
      <c r="M12" s="442">
        <f t="shared" si="0"/>
        <v>0</v>
      </c>
      <c r="N12" s="442">
        <f t="shared" si="0"/>
        <v>0</v>
      </c>
      <c r="O12" s="442">
        <f t="shared" si="0"/>
        <v>0</v>
      </c>
      <c r="P12" s="442">
        <f t="shared" si="0"/>
        <v>0</v>
      </c>
      <c r="Q12" s="442">
        <f t="shared" si="0"/>
        <v>0</v>
      </c>
      <c r="R12" s="442">
        <f t="shared" si="0"/>
        <v>0</v>
      </c>
      <c r="S12" s="442">
        <f t="shared" si="0"/>
        <v>0</v>
      </c>
      <c r="T12" s="447">
        <f>H12+I12+J12+K12+L12+M12+N12+O12+P12+Q12+R12+S12</f>
        <v>0</v>
      </c>
    </row>
    <row r="13" spans="1:22">
      <c r="A13" s="421"/>
      <c r="B13" s="448" t="s">
        <v>140</v>
      </c>
      <c r="C13" s="440">
        <f>+C8+C9+C10+C11</f>
        <v>1155126065</v>
      </c>
      <c r="D13" s="441"/>
      <c r="E13" s="442"/>
      <c r="F13" s="442">
        <v>0</v>
      </c>
      <c r="G13" s="443">
        <f>G12+G11+G10+G9+G8</f>
        <v>1155126065</v>
      </c>
      <c r="H13" s="442">
        <f>H8+H11+H12</f>
        <v>165126065</v>
      </c>
      <c r="I13" s="442">
        <f>I8+I11+I12</f>
        <v>90000000</v>
      </c>
      <c r="J13" s="442">
        <f>J8+J11+J12</f>
        <v>90000000</v>
      </c>
      <c r="K13" s="442">
        <f>K8+K11+K12</f>
        <v>90000000</v>
      </c>
      <c r="L13" s="442">
        <f>L8+L11+L12</f>
        <v>90000000</v>
      </c>
      <c r="M13" s="442">
        <f>M8+M9+M10+M11+M12</f>
        <v>90000000</v>
      </c>
      <c r="N13" s="442">
        <f t="shared" ref="N13:T13" si="1">N8+N9+N10+N11+N12</f>
        <v>90000000</v>
      </c>
      <c r="O13" s="442">
        <f t="shared" si="1"/>
        <v>90000000</v>
      </c>
      <c r="P13" s="442">
        <f t="shared" si="1"/>
        <v>90000000</v>
      </c>
      <c r="Q13" s="442">
        <f t="shared" si="1"/>
        <v>90000000</v>
      </c>
      <c r="R13" s="442">
        <f t="shared" si="1"/>
        <v>90000000</v>
      </c>
      <c r="S13" s="443">
        <f t="shared" si="1"/>
        <v>90000000</v>
      </c>
      <c r="T13" s="444">
        <f t="shared" si="1"/>
        <v>1155126065</v>
      </c>
      <c r="V13" s="26"/>
    </row>
    <row r="14" spans="1:22">
      <c r="A14" s="421"/>
      <c r="B14" s="439" t="s">
        <v>124</v>
      </c>
      <c r="C14" s="445">
        <v>0</v>
      </c>
      <c r="D14" s="441"/>
      <c r="E14" s="442"/>
      <c r="F14" s="442">
        <v>0</v>
      </c>
      <c r="G14" s="442">
        <v>0</v>
      </c>
      <c r="H14" s="442">
        <v>0</v>
      </c>
      <c r="I14" s="442">
        <v>0</v>
      </c>
      <c r="J14" s="442">
        <v>0</v>
      </c>
      <c r="K14" s="442">
        <v>0</v>
      </c>
      <c r="L14" s="442">
        <v>0</v>
      </c>
      <c r="M14" s="442">
        <v>0</v>
      </c>
      <c r="N14" s="442">
        <v>0</v>
      </c>
      <c r="O14" s="442">
        <v>0</v>
      </c>
      <c r="P14" s="442">
        <v>0</v>
      </c>
      <c r="Q14" s="442">
        <v>0</v>
      </c>
      <c r="R14" s="442">
        <v>0</v>
      </c>
      <c r="S14" s="442">
        <v>0</v>
      </c>
      <c r="T14" s="447">
        <v>0</v>
      </c>
      <c r="V14" s="26"/>
    </row>
    <row r="15" spans="1:22">
      <c r="A15" s="421"/>
      <c r="B15" s="439" t="s">
        <v>125</v>
      </c>
      <c r="C15" s="445">
        <v>0</v>
      </c>
      <c r="D15" s="441"/>
      <c r="E15" s="442"/>
      <c r="F15" s="442">
        <v>0</v>
      </c>
      <c r="G15" s="442">
        <v>0</v>
      </c>
      <c r="H15" s="442">
        <v>0</v>
      </c>
      <c r="I15" s="442">
        <v>0</v>
      </c>
      <c r="J15" s="442">
        <v>0</v>
      </c>
      <c r="K15" s="442">
        <v>0</v>
      </c>
      <c r="L15" s="442">
        <v>0</v>
      </c>
      <c r="M15" s="442">
        <v>0</v>
      </c>
      <c r="N15" s="442">
        <v>0</v>
      </c>
      <c r="O15" s="442">
        <v>0</v>
      </c>
      <c r="P15" s="442">
        <v>0</v>
      </c>
      <c r="Q15" s="442">
        <v>0</v>
      </c>
      <c r="R15" s="442">
        <v>0</v>
      </c>
      <c r="S15" s="442">
        <v>0</v>
      </c>
      <c r="T15" s="447">
        <v>0</v>
      </c>
      <c r="V15" s="26"/>
    </row>
    <row r="16" spans="1:22">
      <c r="A16" s="421"/>
      <c r="B16" s="448" t="s">
        <v>126</v>
      </c>
      <c r="C16" s="440">
        <f>+C13</f>
        <v>1155126065</v>
      </c>
      <c r="D16" s="441"/>
      <c r="E16" s="449">
        <f>E8+E9+E10+E11+E12</f>
        <v>0</v>
      </c>
      <c r="F16" s="442">
        <v>0</v>
      </c>
      <c r="G16" s="450">
        <f>+G13</f>
        <v>1155126065</v>
      </c>
      <c r="H16" s="449">
        <f>H8+H11+H12</f>
        <v>165126065</v>
      </c>
      <c r="I16" s="449">
        <f>I8+I11+I12</f>
        <v>90000000</v>
      </c>
      <c r="J16" s="449">
        <f t="shared" ref="J16:R16" si="2">+J13</f>
        <v>90000000</v>
      </c>
      <c r="K16" s="449">
        <f t="shared" si="2"/>
        <v>90000000</v>
      </c>
      <c r="L16" s="449">
        <f t="shared" si="2"/>
        <v>90000000</v>
      </c>
      <c r="M16" s="449">
        <f t="shared" si="2"/>
        <v>90000000</v>
      </c>
      <c r="N16" s="449">
        <f t="shared" si="2"/>
        <v>90000000</v>
      </c>
      <c r="O16" s="449">
        <f t="shared" si="2"/>
        <v>90000000</v>
      </c>
      <c r="P16" s="449">
        <f t="shared" si="2"/>
        <v>90000000</v>
      </c>
      <c r="Q16" s="449">
        <f t="shared" si="2"/>
        <v>90000000</v>
      </c>
      <c r="R16" s="449">
        <f t="shared" si="2"/>
        <v>90000000</v>
      </c>
      <c r="S16" s="450">
        <f>S13</f>
        <v>90000000</v>
      </c>
      <c r="T16" s="451">
        <f>H16+I16+J16+K16+L16+M16+N16+O16+P16+Q16+R16+S16</f>
        <v>1155126065</v>
      </c>
    </row>
    <row r="17" spans="1:22" ht="13.5" thickBot="1">
      <c r="A17" s="421"/>
      <c r="B17" s="428"/>
      <c r="C17" s="452"/>
      <c r="D17" s="453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5"/>
    </row>
    <row r="18" spans="1:22" ht="8.25" customHeight="1">
      <c r="A18" s="421"/>
      <c r="B18" s="456"/>
      <c r="C18" s="457"/>
      <c r="D18" s="458"/>
      <c r="E18" s="457"/>
      <c r="F18" s="457"/>
      <c r="G18" s="457"/>
      <c r="H18" s="457"/>
      <c r="I18" s="457"/>
      <c r="J18" s="459"/>
      <c r="K18" s="459"/>
      <c r="L18" s="459"/>
      <c r="M18" s="459"/>
      <c r="N18" s="459"/>
      <c r="O18" s="459"/>
      <c r="P18" s="457"/>
      <c r="Q18" s="457"/>
      <c r="R18" s="457"/>
      <c r="S18" s="457"/>
      <c r="T18" s="460" t="s">
        <v>117</v>
      </c>
      <c r="V18" s="26"/>
    </row>
    <row r="19" spans="1:22">
      <c r="A19" s="421"/>
      <c r="B19" s="456"/>
      <c r="C19" s="457"/>
      <c r="D19" s="458"/>
      <c r="E19" s="457"/>
      <c r="F19" s="461"/>
      <c r="G19" s="457"/>
      <c r="H19" s="457"/>
      <c r="I19" s="457"/>
      <c r="J19" s="459" t="s">
        <v>176</v>
      </c>
      <c r="K19" s="459"/>
      <c r="L19" s="459"/>
      <c r="M19" s="459"/>
      <c r="N19" s="459"/>
      <c r="O19" s="462"/>
      <c r="P19" s="457"/>
      <c r="Q19" s="457"/>
      <c r="R19" s="457"/>
      <c r="S19" s="457"/>
      <c r="T19" s="460"/>
      <c r="V19" s="26"/>
    </row>
    <row r="20" spans="1:22" ht="9.75" customHeight="1" thickBot="1">
      <c r="A20" s="421"/>
      <c r="B20" s="458"/>
      <c r="C20" s="457"/>
      <c r="D20" s="458"/>
      <c r="E20" s="457"/>
      <c r="F20" s="457"/>
      <c r="G20" s="457"/>
      <c r="H20" s="457"/>
      <c r="I20" s="457"/>
      <c r="J20" s="459"/>
      <c r="K20" s="459"/>
      <c r="L20" s="459"/>
      <c r="M20" s="459"/>
      <c r="N20" s="459"/>
      <c r="O20" s="459"/>
      <c r="P20" s="457"/>
      <c r="Q20" s="457"/>
      <c r="R20" s="457"/>
      <c r="S20" s="457"/>
      <c r="T20" s="460"/>
    </row>
    <row r="21" spans="1:22">
      <c r="A21" s="421"/>
      <c r="B21" s="425" t="s">
        <v>1</v>
      </c>
      <c r="C21" s="463" t="s">
        <v>127</v>
      </c>
      <c r="D21" s="464" t="s">
        <v>101</v>
      </c>
      <c r="E21" s="465" t="s">
        <v>2</v>
      </c>
      <c r="F21" s="464" t="s">
        <v>128</v>
      </c>
      <c r="G21" s="465" t="s">
        <v>129</v>
      </c>
      <c r="H21" s="464" t="s">
        <v>104</v>
      </c>
      <c r="I21" s="464" t="s">
        <v>105</v>
      </c>
      <c r="J21" s="465" t="s">
        <v>106</v>
      </c>
      <c r="K21" s="464" t="s">
        <v>107</v>
      </c>
      <c r="L21" s="465" t="s">
        <v>108</v>
      </c>
      <c r="M21" s="464" t="s">
        <v>109</v>
      </c>
      <c r="N21" s="465" t="s">
        <v>110</v>
      </c>
      <c r="O21" s="464" t="s">
        <v>111</v>
      </c>
      <c r="P21" s="465" t="s">
        <v>112</v>
      </c>
      <c r="Q21" s="464" t="s">
        <v>113</v>
      </c>
      <c r="R21" s="465" t="s">
        <v>114</v>
      </c>
      <c r="S21" s="464" t="s">
        <v>115</v>
      </c>
      <c r="T21" s="466" t="s">
        <v>116</v>
      </c>
      <c r="V21" s="26"/>
    </row>
    <row r="22" spans="1:22" ht="13.5" thickBot="1">
      <c r="A22" s="421"/>
      <c r="B22" s="428"/>
      <c r="C22" s="467" t="s">
        <v>3</v>
      </c>
      <c r="D22" s="468"/>
      <c r="E22" s="454"/>
      <c r="F22" s="469"/>
      <c r="G22" s="470" t="s">
        <v>118</v>
      </c>
      <c r="H22" s="469"/>
      <c r="I22" s="469"/>
      <c r="J22" s="454"/>
      <c r="K22" s="469"/>
      <c r="L22" s="454"/>
      <c r="M22" s="469"/>
      <c r="N22" s="454"/>
      <c r="O22" s="469"/>
      <c r="P22" s="454"/>
      <c r="Q22" s="469"/>
      <c r="R22" s="454"/>
      <c r="S22" s="469"/>
      <c r="T22" s="455"/>
      <c r="V22" s="26"/>
    </row>
    <row r="23" spans="1:22">
      <c r="A23" s="471" t="s">
        <v>4</v>
      </c>
      <c r="B23" s="472" t="s">
        <v>5</v>
      </c>
      <c r="C23" s="473">
        <f t="shared" ref="C23:T23" si="3">SUM(C24:C31)</f>
        <v>650377324</v>
      </c>
      <c r="D23" s="474">
        <f t="shared" si="3"/>
        <v>0</v>
      </c>
      <c r="E23" s="475">
        <f t="shared" si="3"/>
        <v>0</v>
      </c>
      <c r="F23" s="475">
        <f t="shared" si="3"/>
        <v>0</v>
      </c>
      <c r="G23" s="475">
        <f t="shared" si="3"/>
        <v>650377324</v>
      </c>
      <c r="H23" s="475">
        <f t="shared" si="3"/>
        <v>44764777</v>
      </c>
      <c r="I23" s="475">
        <f t="shared" si="3"/>
        <v>43764777</v>
      </c>
      <c r="J23" s="475">
        <f t="shared" si="3"/>
        <v>40864777</v>
      </c>
      <c r="K23" s="475">
        <f t="shared" si="3"/>
        <v>41814777</v>
      </c>
      <c r="L23" s="475">
        <f t="shared" si="3"/>
        <v>42014777</v>
      </c>
      <c r="M23" s="476">
        <f t="shared" si="3"/>
        <v>51442513</v>
      </c>
      <c r="N23" s="475">
        <f t="shared" si="3"/>
        <v>70064777</v>
      </c>
      <c r="O23" s="475">
        <f t="shared" si="3"/>
        <v>46414777</v>
      </c>
      <c r="P23" s="475">
        <f t="shared" si="3"/>
        <v>40864777</v>
      </c>
      <c r="Q23" s="475">
        <f t="shared" si="3"/>
        <v>55264777</v>
      </c>
      <c r="R23" s="475">
        <f t="shared" si="3"/>
        <v>52264777</v>
      </c>
      <c r="S23" s="475">
        <f t="shared" si="3"/>
        <v>120837041</v>
      </c>
      <c r="T23" s="473">
        <f t="shared" si="3"/>
        <v>650377324</v>
      </c>
      <c r="U23" s="26">
        <f>G23-T23</f>
        <v>0</v>
      </c>
    </row>
    <row r="24" spans="1:22" ht="14.25">
      <c r="A24" s="477" t="s">
        <v>6</v>
      </c>
      <c r="B24" s="118" t="s">
        <v>7</v>
      </c>
      <c r="C24" s="478">
        <v>488231324</v>
      </c>
      <c r="D24" s="479"/>
      <c r="E24" s="119"/>
      <c r="F24" s="480"/>
      <c r="G24" s="119">
        <f>ROUND((C24+D24+E24-F24),1)</f>
        <v>488231324</v>
      </c>
      <c r="H24" s="40">
        <v>40685943</v>
      </c>
      <c r="I24" s="40">
        <v>40685943</v>
      </c>
      <c r="J24" s="40">
        <v>40685943</v>
      </c>
      <c r="K24" s="40">
        <v>40685943</v>
      </c>
      <c r="L24" s="40">
        <v>40685944</v>
      </c>
      <c r="M24" s="40">
        <v>40685944</v>
      </c>
      <c r="N24" s="40">
        <v>40685944</v>
      </c>
      <c r="O24" s="40">
        <v>40685944</v>
      </c>
      <c r="P24" s="40">
        <v>40685944</v>
      </c>
      <c r="Q24" s="40">
        <v>40685944</v>
      </c>
      <c r="R24" s="40">
        <v>40685944</v>
      </c>
      <c r="S24" s="40">
        <v>40685944</v>
      </c>
      <c r="T24" s="481">
        <f>SUM(H24:S24)</f>
        <v>488231324</v>
      </c>
      <c r="U24" s="26">
        <f t="shared" ref="U24:U77" si="4">G24-T24</f>
        <v>0</v>
      </c>
    </row>
    <row r="25" spans="1:22" ht="14.25">
      <c r="A25" s="477" t="s">
        <v>10</v>
      </c>
      <c r="B25" s="118" t="s">
        <v>11</v>
      </c>
      <c r="C25" s="478">
        <v>1246000</v>
      </c>
      <c r="D25" s="479"/>
      <c r="E25" s="119"/>
      <c r="F25" s="119"/>
      <c r="G25" s="119">
        <f t="shared" ref="G25:G31" si="5">ROUND((C25+D25+E25-F25),1)</f>
        <v>1246000</v>
      </c>
      <c r="H25" s="40">
        <v>103834</v>
      </c>
      <c r="I25" s="40">
        <v>103834</v>
      </c>
      <c r="J25" s="40">
        <v>103834</v>
      </c>
      <c r="K25" s="40">
        <v>103834</v>
      </c>
      <c r="L25" s="40">
        <v>103833</v>
      </c>
      <c r="M25" s="40">
        <v>103833</v>
      </c>
      <c r="N25" s="40">
        <v>103833</v>
      </c>
      <c r="O25" s="40">
        <v>103833</v>
      </c>
      <c r="P25" s="40">
        <v>103833</v>
      </c>
      <c r="Q25" s="40">
        <v>103833</v>
      </c>
      <c r="R25" s="40">
        <v>103833</v>
      </c>
      <c r="S25" s="40">
        <v>103833</v>
      </c>
      <c r="T25" s="481">
        <f t="shared" ref="T25:T35" si="6">SUM(H25:S25)</f>
        <v>1246000</v>
      </c>
      <c r="U25" s="26">
        <f t="shared" si="4"/>
        <v>0</v>
      </c>
    </row>
    <row r="26" spans="1:22" ht="14.25">
      <c r="A26" s="477">
        <v>2020110104</v>
      </c>
      <c r="B26" s="118" t="s">
        <v>13</v>
      </c>
      <c r="C26" s="478">
        <v>900000</v>
      </c>
      <c r="D26" s="479"/>
      <c r="E26" s="119"/>
      <c r="F26" s="119"/>
      <c r="G26" s="119">
        <f t="shared" si="5"/>
        <v>900000</v>
      </c>
      <c r="H26" s="40">
        <v>75000</v>
      </c>
      <c r="I26" s="40">
        <v>75000</v>
      </c>
      <c r="J26" s="40">
        <v>75000</v>
      </c>
      <c r="K26" s="40">
        <v>75000</v>
      </c>
      <c r="L26" s="40">
        <v>75000</v>
      </c>
      <c r="M26" s="40">
        <v>75000</v>
      </c>
      <c r="N26" s="40">
        <v>75000</v>
      </c>
      <c r="O26" s="40">
        <v>75000</v>
      </c>
      <c r="P26" s="40">
        <v>75000</v>
      </c>
      <c r="Q26" s="40">
        <v>75000</v>
      </c>
      <c r="R26" s="40">
        <v>75000</v>
      </c>
      <c r="S26" s="40">
        <v>75000</v>
      </c>
      <c r="T26" s="481">
        <f t="shared" si="6"/>
        <v>900000</v>
      </c>
      <c r="U26" s="26">
        <f t="shared" si="4"/>
        <v>0</v>
      </c>
    </row>
    <row r="27" spans="1:22" ht="14.25">
      <c r="A27" s="477" t="s">
        <v>14</v>
      </c>
      <c r="B27" s="118" t="s">
        <v>15</v>
      </c>
      <c r="C27" s="478">
        <v>17000000</v>
      </c>
      <c r="D27" s="479"/>
      <c r="E27" s="119"/>
      <c r="F27" s="119"/>
      <c r="G27" s="119">
        <f t="shared" si="5"/>
        <v>17000000</v>
      </c>
      <c r="H27" s="40">
        <v>0</v>
      </c>
      <c r="I27" s="482">
        <v>2900000</v>
      </c>
      <c r="J27" s="482">
        <v>0</v>
      </c>
      <c r="K27" s="482">
        <v>950000</v>
      </c>
      <c r="L27" s="482">
        <v>1150000</v>
      </c>
      <c r="M27" s="482">
        <v>2300000</v>
      </c>
      <c r="N27" s="482">
        <v>1600000</v>
      </c>
      <c r="O27" s="482">
        <v>3600000</v>
      </c>
      <c r="P27" s="482">
        <v>0</v>
      </c>
      <c r="Q27" s="482">
        <v>0</v>
      </c>
      <c r="R27" s="44">
        <v>4500000</v>
      </c>
      <c r="S27" s="482">
        <v>0</v>
      </c>
      <c r="T27" s="481">
        <f t="shared" si="6"/>
        <v>17000000</v>
      </c>
      <c r="U27" s="26">
        <f t="shared" si="4"/>
        <v>0</v>
      </c>
    </row>
    <row r="28" spans="1:22" ht="14.25">
      <c r="A28" s="477" t="s">
        <v>16</v>
      </c>
      <c r="B28" s="118" t="s">
        <v>17</v>
      </c>
      <c r="C28" s="478">
        <v>24000000</v>
      </c>
      <c r="D28" s="479"/>
      <c r="E28" s="40"/>
      <c r="F28" s="119"/>
      <c r="G28" s="119">
        <f t="shared" si="5"/>
        <v>24000000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82">
        <v>0</v>
      </c>
      <c r="N28" s="44">
        <v>24000000</v>
      </c>
      <c r="O28" s="44">
        <v>0</v>
      </c>
      <c r="P28" s="44">
        <v>0</v>
      </c>
      <c r="Q28" s="44">
        <v>0</v>
      </c>
      <c r="R28" s="44"/>
      <c r="S28" s="44">
        <v>0</v>
      </c>
      <c r="T28" s="481">
        <f t="shared" si="6"/>
        <v>24000000</v>
      </c>
      <c r="U28" s="26">
        <f t="shared" si="4"/>
        <v>0</v>
      </c>
    </row>
    <row r="29" spans="1:22" ht="14.25">
      <c r="A29" s="477" t="s">
        <v>18</v>
      </c>
      <c r="B29" s="118" t="s">
        <v>19</v>
      </c>
      <c r="C29" s="478">
        <v>28000000</v>
      </c>
      <c r="D29" s="479"/>
      <c r="E29" s="119"/>
      <c r="F29" s="40"/>
      <c r="G29" s="119">
        <f t="shared" si="5"/>
        <v>28000000</v>
      </c>
      <c r="H29" s="40">
        <v>1200000</v>
      </c>
      <c r="I29" s="483"/>
      <c r="J29" s="482"/>
      <c r="K29" s="482"/>
      <c r="L29" s="482"/>
      <c r="M29" s="482">
        <v>3000000</v>
      </c>
      <c r="N29" s="482">
        <v>1000000</v>
      </c>
      <c r="O29" s="482">
        <v>1000000</v>
      </c>
      <c r="P29" s="44">
        <v>0</v>
      </c>
      <c r="Q29" s="44">
        <v>5200000</v>
      </c>
      <c r="R29" s="44">
        <v>2600000</v>
      </c>
      <c r="S29" s="44">
        <v>14000000</v>
      </c>
      <c r="T29" s="481">
        <f t="shared" si="6"/>
        <v>28000000</v>
      </c>
      <c r="U29" s="26">
        <f t="shared" si="4"/>
        <v>0</v>
      </c>
    </row>
    <row r="30" spans="1:22" ht="14.25">
      <c r="A30" s="477">
        <v>2020110109</v>
      </c>
      <c r="B30" s="118" t="s">
        <v>20</v>
      </c>
      <c r="C30" s="478">
        <v>36000000</v>
      </c>
      <c r="D30" s="479"/>
      <c r="E30" s="119"/>
      <c r="F30" s="40"/>
      <c r="G30" s="119">
        <f t="shared" si="5"/>
        <v>36000000</v>
      </c>
      <c r="H30" s="40">
        <v>1700000</v>
      </c>
      <c r="I30" s="483"/>
      <c r="J30" s="482"/>
      <c r="K30" s="482"/>
      <c r="L30" s="482"/>
      <c r="M30" s="482">
        <v>5277736</v>
      </c>
      <c r="N30" s="482">
        <v>2600000</v>
      </c>
      <c r="O30" s="482">
        <v>950000</v>
      </c>
      <c r="P30" s="44">
        <v>0</v>
      </c>
      <c r="Q30" s="44">
        <v>9200000</v>
      </c>
      <c r="R30" s="44">
        <v>4300000</v>
      </c>
      <c r="S30" s="44">
        <v>11972264</v>
      </c>
      <c r="T30" s="481">
        <f>SUM(H30:S30)</f>
        <v>36000000</v>
      </c>
      <c r="U30" s="26">
        <f t="shared" si="4"/>
        <v>0</v>
      </c>
    </row>
    <row r="31" spans="1:22" ht="15" thickBot="1">
      <c r="A31" s="477">
        <v>2020110108</v>
      </c>
      <c r="B31" s="118" t="s">
        <v>21</v>
      </c>
      <c r="C31" s="478">
        <v>55000000</v>
      </c>
      <c r="D31" s="479"/>
      <c r="E31" s="119"/>
      <c r="F31" s="119"/>
      <c r="G31" s="119">
        <f t="shared" si="5"/>
        <v>55000000</v>
      </c>
      <c r="H31" s="40">
        <v>1000000</v>
      </c>
      <c r="I31" s="484">
        <v>0</v>
      </c>
      <c r="J31" s="482">
        <v>0</v>
      </c>
      <c r="K31" s="482">
        <v>0</v>
      </c>
      <c r="L31" s="482">
        <v>0</v>
      </c>
      <c r="M31" s="482">
        <v>0</v>
      </c>
      <c r="N31" s="482"/>
      <c r="O31" s="482">
        <v>0</v>
      </c>
      <c r="P31" s="482">
        <v>0</v>
      </c>
      <c r="Q31" s="482">
        <v>0</v>
      </c>
      <c r="R31" s="482">
        <v>0</v>
      </c>
      <c r="S31" s="482">
        <v>54000000</v>
      </c>
      <c r="T31" s="481">
        <f t="shared" si="6"/>
        <v>55000000</v>
      </c>
      <c r="U31" s="26">
        <f t="shared" si="4"/>
        <v>0</v>
      </c>
    </row>
    <row r="32" spans="1:22">
      <c r="A32" s="471">
        <v>20201102</v>
      </c>
      <c r="B32" s="472" t="s">
        <v>130</v>
      </c>
      <c r="C32" s="472">
        <f>SUM(C33:C35)</f>
        <v>20000000</v>
      </c>
      <c r="D32" s="472">
        <f>SUM(D33:D35)</f>
        <v>0</v>
      </c>
      <c r="E32" s="472">
        <f>SUM(E33:E35)</f>
        <v>0</v>
      </c>
      <c r="F32" s="472">
        <f>SUM(F33:F35)</f>
        <v>0</v>
      </c>
      <c r="G32" s="485">
        <f>SUM(G33:G35)</f>
        <v>20000000</v>
      </c>
      <c r="H32" s="485">
        <f t="shared" ref="H32:T32" si="7">SUM(H33:H35)</f>
        <v>20000000</v>
      </c>
      <c r="I32" s="485">
        <f t="shared" si="7"/>
        <v>0</v>
      </c>
      <c r="J32" s="485">
        <f t="shared" si="7"/>
        <v>0</v>
      </c>
      <c r="K32" s="485">
        <f t="shared" si="7"/>
        <v>0</v>
      </c>
      <c r="L32" s="485">
        <f t="shared" si="7"/>
        <v>0</v>
      </c>
      <c r="M32" s="485">
        <f t="shared" si="7"/>
        <v>0</v>
      </c>
      <c r="N32" s="485">
        <f t="shared" si="7"/>
        <v>0</v>
      </c>
      <c r="O32" s="485">
        <f t="shared" si="7"/>
        <v>0</v>
      </c>
      <c r="P32" s="485">
        <f t="shared" si="7"/>
        <v>0</v>
      </c>
      <c r="Q32" s="485">
        <f t="shared" si="7"/>
        <v>0</v>
      </c>
      <c r="R32" s="485">
        <f t="shared" si="7"/>
        <v>0</v>
      </c>
      <c r="S32" s="485">
        <f t="shared" si="7"/>
        <v>0</v>
      </c>
      <c r="T32" s="485">
        <f t="shared" si="7"/>
        <v>20000000</v>
      </c>
      <c r="U32" s="26">
        <f t="shared" si="4"/>
        <v>0</v>
      </c>
    </row>
    <row r="33" spans="1:21" ht="14.25">
      <c r="A33" s="477" t="s">
        <v>24</v>
      </c>
      <c r="B33" s="118" t="s">
        <v>25</v>
      </c>
      <c r="C33" s="486">
        <v>20000000</v>
      </c>
      <c r="D33" s="479"/>
      <c r="E33" s="40"/>
      <c r="F33" s="119"/>
      <c r="G33" s="119">
        <f>C33+D33+E33-F33</f>
        <v>20000000</v>
      </c>
      <c r="H33" s="44">
        <v>20000000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81">
        <f t="shared" si="6"/>
        <v>20000000</v>
      </c>
      <c r="U33" s="26">
        <f t="shared" si="4"/>
        <v>0</v>
      </c>
    </row>
    <row r="34" spans="1:21">
      <c r="A34" s="477" t="s">
        <v>26</v>
      </c>
      <c r="B34" s="118" t="s">
        <v>27</v>
      </c>
      <c r="C34" s="487">
        <v>0</v>
      </c>
      <c r="D34" s="479"/>
      <c r="E34" s="119"/>
      <c r="F34" s="119"/>
      <c r="G34" s="119">
        <f>C34+D34+E34-F34</f>
        <v>0</v>
      </c>
      <c r="H34" s="119">
        <f t="shared" ref="H34:S35" si="8">D34+E34+F34-G34</f>
        <v>0</v>
      </c>
      <c r="I34" s="119">
        <f t="shared" si="8"/>
        <v>0</v>
      </c>
      <c r="J34" s="119">
        <f t="shared" si="8"/>
        <v>0</v>
      </c>
      <c r="K34" s="119">
        <f t="shared" si="8"/>
        <v>0</v>
      </c>
      <c r="L34" s="119">
        <f t="shared" si="8"/>
        <v>0</v>
      </c>
      <c r="M34" s="119">
        <f t="shared" si="8"/>
        <v>0</v>
      </c>
      <c r="N34" s="119">
        <f t="shared" si="8"/>
        <v>0</v>
      </c>
      <c r="O34" s="119">
        <f t="shared" si="8"/>
        <v>0</v>
      </c>
      <c r="P34" s="119">
        <f t="shared" si="8"/>
        <v>0</v>
      </c>
      <c r="Q34" s="119">
        <f t="shared" si="8"/>
        <v>0</v>
      </c>
      <c r="R34" s="119">
        <f t="shared" si="8"/>
        <v>0</v>
      </c>
      <c r="S34" s="119">
        <f t="shared" si="8"/>
        <v>0</v>
      </c>
      <c r="T34" s="481">
        <f t="shared" si="6"/>
        <v>0</v>
      </c>
      <c r="U34" s="26">
        <f t="shared" si="4"/>
        <v>0</v>
      </c>
    </row>
    <row r="35" spans="1:21">
      <c r="A35" s="477" t="s">
        <v>28</v>
      </c>
      <c r="B35" s="128" t="s">
        <v>29</v>
      </c>
      <c r="C35" s="487">
        <v>0</v>
      </c>
      <c r="D35" s="479"/>
      <c r="E35" s="119"/>
      <c r="F35" s="119"/>
      <c r="G35" s="119">
        <f>C35+D35+E35-F35</f>
        <v>0</v>
      </c>
      <c r="H35" s="119">
        <f t="shared" si="8"/>
        <v>0</v>
      </c>
      <c r="I35" s="119">
        <f t="shared" si="8"/>
        <v>0</v>
      </c>
      <c r="J35" s="119">
        <f t="shared" si="8"/>
        <v>0</v>
      </c>
      <c r="K35" s="119">
        <f t="shared" si="8"/>
        <v>0</v>
      </c>
      <c r="L35" s="119">
        <f t="shared" si="8"/>
        <v>0</v>
      </c>
      <c r="M35" s="119">
        <f t="shared" si="8"/>
        <v>0</v>
      </c>
      <c r="N35" s="119">
        <f t="shared" si="8"/>
        <v>0</v>
      </c>
      <c r="O35" s="119">
        <f t="shared" si="8"/>
        <v>0</v>
      </c>
      <c r="P35" s="119">
        <f t="shared" si="8"/>
        <v>0</v>
      </c>
      <c r="Q35" s="119">
        <f t="shared" si="8"/>
        <v>0</v>
      </c>
      <c r="R35" s="119">
        <f t="shared" si="8"/>
        <v>0</v>
      </c>
      <c r="S35" s="119">
        <f t="shared" si="8"/>
        <v>0</v>
      </c>
      <c r="T35" s="481">
        <f t="shared" si="6"/>
        <v>0</v>
      </c>
      <c r="U35" s="26">
        <f t="shared" si="4"/>
        <v>0</v>
      </c>
    </row>
    <row r="36" spans="1:21" ht="24" customHeight="1" thickBot="1">
      <c r="A36" s="421"/>
      <c r="B36" s="448" t="s">
        <v>131</v>
      </c>
      <c r="C36" s="488">
        <f>C37+C42</f>
        <v>149019000</v>
      </c>
      <c r="D36" s="474">
        <f>D37+D42</f>
        <v>0</v>
      </c>
      <c r="E36" s="475">
        <f>E37+E42+E58</f>
        <v>0</v>
      </c>
      <c r="F36" s="475">
        <f>F37+F42+F58</f>
        <v>0</v>
      </c>
      <c r="G36" s="475">
        <f>G37+G42</f>
        <v>149019000</v>
      </c>
      <c r="H36" s="475">
        <f t="shared" ref="H36:S36" si="9">H37+H42</f>
        <v>23101918</v>
      </c>
      <c r="I36" s="475">
        <f t="shared" si="9"/>
        <v>16301918</v>
      </c>
      <c r="J36" s="475">
        <f t="shared" si="9"/>
        <v>26701918</v>
      </c>
      <c r="K36" s="475">
        <f t="shared" si="9"/>
        <v>6468918</v>
      </c>
      <c r="L36" s="475">
        <f t="shared" si="9"/>
        <v>6469018</v>
      </c>
      <c r="M36" s="475">
        <f t="shared" si="9"/>
        <v>23719484</v>
      </c>
      <c r="N36" s="475">
        <f t="shared" si="9"/>
        <v>6418584</v>
      </c>
      <c r="O36" s="475">
        <f t="shared" si="9"/>
        <v>6418584</v>
      </c>
      <c r="P36" s="475">
        <f t="shared" si="9"/>
        <v>7466918</v>
      </c>
      <c r="Q36" s="475">
        <f t="shared" si="9"/>
        <v>7701918</v>
      </c>
      <c r="R36" s="475">
        <f t="shared" si="9"/>
        <v>8201918</v>
      </c>
      <c r="S36" s="475">
        <f t="shared" si="9"/>
        <v>9797902</v>
      </c>
      <c r="T36" s="488">
        <f>T42+T37</f>
        <v>149019000</v>
      </c>
      <c r="U36" s="26">
        <f t="shared" si="4"/>
        <v>0</v>
      </c>
    </row>
    <row r="37" spans="1:21">
      <c r="A37" s="471">
        <v>20201201</v>
      </c>
      <c r="B37" s="472" t="s">
        <v>132</v>
      </c>
      <c r="C37" s="485">
        <f>SUM(C38:C41)</f>
        <v>21300000</v>
      </c>
      <c r="D37" s="472">
        <f>SUM(D38:D41)</f>
        <v>0</v>
      </c>
      <c r="E37" s="472">
        <f>SUM(E38:E41)</f>
        <v>0</v>
      </c>
      <c r="F37" s="472">
        <f>SUM(F38:F41)</f>
        <v>0</v>
      </c>
      <c r="G37" s="485">
        <f>SUM(G38:G41)</f>
        <v>21300000</v>
      </c>
      <c r="H37" s="485">
        <f t="shared" ref="H37:T37" si="10">SUM(H38:H41)</f>
        <v>14000000</v>
      </c>
      <c r="I37" s="485">
        <f t="shared" si="10"/>
        <v>6000000</v>
      </c>
      <c r="J37" s="485">
        <f t="shared" si="10"/>
        <v>0</v>
      </c>
      <c r="K37" s="485">
        <f t="shared" si="10"/>
        <v>0</v>
      </c>
      <c r="L37" s="485">
        <f t="shared" si="10"/>
        <v>0</v>
      </c>
      <c r="M37" s="485">
        <f t="shared" si="10"/>
        <v>0</v>
      </c>
      <c r="N37" s="485">
        <f t="shared" si="10"/>
        <v>0</v>
      </c>
      <c r="O37" s="485">
        <f t="shared" si="10"/>
        <v>0</v>
      </c>
      <c r="P37" s="485">
        <f t="shared" si="10"/>
        <v>0</v>
      </c>
      <c r="Q37" s="485">
        <f t="shared" si="10"/>
        <v>0</v>
      </c>
      <c r="R37" s="485">
        <f t="shared" si="10"/>
        <v>0</v>
      </c>
      <c r="S37" s="485">
        <f t="shared" si="10"/>
        <v>1300000</v>
      </c>
      <c r="T37" s="485">
        <f t="shared" si="10"/>
        <v>21300000</v>
      </c>
      <c r="U37" s="26">
        <f t="shared" si="4"/>
        <v>0</v>
      </c>
    </row>
    <row r="38" spans="1:21" ht="14.25">
      <c r="A38" s="477" t="s">
        <v>32</v>
      </c>
      <c r="B38" s="128" t="s">
        <v>33</v>
      </c>
      <c r="C38" s="489">
        <v>6000000</v>
      </c>
      <c r="D38" s="479"/>
      <c r="E38" s="119"/>
      <c r="F38" s="119"/>
      <c r="G38" s="119">
        <f>C38+D38+E38-F38</f>
        <v>6000000</v>
      </c>
      <c r="H38" s="44">
        <v>6000000</v>
      </c>
      <c r="I38" s="483"/>
      <c r="J38" s="483"/>
      <c r="K38" s="483">
        <v>0</v>
      </c>
      <c r="L38" s="483">
        <v>0</v>
      </c>
      <c r="M38" s="483">
        <v>0</v>
      </c>
      <c r="N38" s="483">
        <v>0</v>
      </c>
      <c r="O38" s="483">
        <v>0</v>
      </c>
      <c r="P38" s="483">
        <v>0</v>
      </c>
      <c r="Q38" s="483">
        <v>0</v>
      </c>
      <c r="R38" s="483">
        <v>0</v>
      </c>
      <c r="S38" s="483">
        <v>0</v>
      </c>
      <c r="T38" s="481">
        <f t="shared" ref="T38:T63" si="11">SUM(H38:S38)</f>
        <v>6000000</v>
      </c>
      <c r="U38" s="26">
        <f t="shared" si="4"/>
        <v>0</v>
      </c>
    </row>
    <row r="39" spans="1:21" ht="14.25">
      <c r="A39" s="477" t="s">
        <v>34</v>
      </c>
      <c r="B39" s="128" t="s">
        <v>35</v>
      </c>
      <c r="C39" s="489">
        <v>14000000</v>
      </c>
      <c r="D39" s="490"/>
      <c r="E39" s="119"/>
      <c r="F39" s="119"/>
      <c r="G39" s="119">
        <f>C39+D39+E39-F39</f>
        <v>14000000</v>
      </c>
      <c r="H39" s="40">
        <v>8000000</v>
      </c>
      <c r="I39" s="40">
        <v>6000000</v>
      </c>
      <c r="J39" s="40"/>
      <c r="K39" s="40"/>
      <c r="L39" s="40"/>
      <c r="M39" s="40">
        <v>0</v>
      </c>
      <c r="N39" s="40">
        <v>0</v>
      </c>
      <c r="O39" s="40"/>
      <c r="P39" s="40"/>
      <c r="Q39" s="40">
        <v>0</v>
      </c>
      <c r="R39" s="40">
        <v>0</v>
      </c>
      <c r="S39" s="40"/>
      <c r="T39" s="481">
        <f t="shared" si="11"/>
        <v>14000000</v>
      </c>
      <c r="U39" s="26">
        <f t="shared" si="4"/>
        <v>0</v>
      </c>
    </row>
    <row r="40" spans="1:21" ht="14.25">
      <c r="A40" s="477" t="s">
        <v>36</v>
      </c>
      <c r="B40" s="128" t="s">
        <v>37</v>
      </c>
      <c r="C40" s="489">
        <v>1300000</v>
      </c>
      <c r="D40" s="479"/>
      <c r="E40" s="119"/>
      <c r="F40" s="119"/>
      <c r="G40" s="119">
        <f>C40+D40+E40-F40</f>
        <v>1300000</v>
      </c>
      <c r="H40" s="44"/>
      <c r="I40" s="40"/>
      <c r="J40" s="40"/>
      <c r="K40" s="40"/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1300000</v>
      </c>
      <c r="T40" s="481">
        <f t="shared" si="11"/>
        <v>1300000</v>
      </c>
      <c r="U40" s="26">
        <f t="shared" si="4"/>
        <v>0</v>
      </c>
    </row>
    <row r="41" spans="1:21" ht="14.25">
      <c r="A41" s="477" t="s">
        <v>38</v>
      </c>
      <c r="B41" s="128" t="s">
        <v>39</v>
      </c>
      <c r="C41" s="489">
        <v>0</v>
      </c>
      <c r="D41" s="479">
        <v>0</v>
      </c>
      <c r="E41" s="119">
        <v>0</v>
      </c>
      <c r="F41" s="119">
        <v>0</v>
      </c>
      <c r="G41" s="119">
        <f>C41+D41+E41-F41</f>
        <v>0</v>
      </c>
      <c r="H41" s="44">
        <f t="shared" ref="H41:R41" si="12">ROUND($G$41/12,-1)</f>
        <v>0</v>
      </c>
      <c r="I41" s="40"/>
      <c r="J41" s="40">
        <v>0</v>
      </c>
      <c r="K41" s="40">
        <v>0</v>
      </c>
      <c r="L41" s="44">
        <f t="shared" si="12"/>
        <v>0</v>
      </c>
      <c r="M41" s="44">
        <f t="shared" si="12"/>
        <v>0</v>
      </c>
      <c r="N41" s="44">
        <f t="shared" si="12"/>
        <v>0</v>
      </c>
      <c r="O41" s="44">
        <f t="shared" si="12"/>
        <v>0</v>
      </c>
      <c r="P41" s="44">
        <f t="shared" si="12"/>
        <v>0</v>
      </c>
      <c r="Q41" s="44">
        <f t="shared" si="12"/>
        <v>0</v>
      </c>
      <c r="R41" s="44">
        <f t="shared" si="12"/>
        <v>0</v>
      </c>
      <c r="S41" s="44">
        <f>G41-SUM(H41:R41)</f>
        <v>0</v>
      </c>
      <c r="T41" s="481">
        <f t="shared" si="11"/>
        <v>0</v>
      </c>
      <c r="U41" s="26">
        <f t="shared" si="4"/>
        <v>0</v>
      </c>
    </row>
    <row r="42" spans="1:21">
      <c r="A42" s="471" t="s">
        <v>40</v>
      </c>
      <c r="B42" s="491" t="s">
        <v>133</v>
      </c>
      <c r="C42" s="492">
        <f>SUM(C43:C58)</f>
        <v>127719000</v>
      </c>
      <c r="D42" s="491">
        <f>SUM(D43:D56)</f>
        <v>0</v>
      </c>
      <c r="E42" s="493">
        <f>SUM(E43:E57)</f>
        <v>0</v>
      </c>
      <c r="F42" s="493">
        <f>SUM(F43:F57)</f>
        <v>0</v>
      </c>
      <c r="G42" s="493">
        <f t="shared" ref="G42:L42" si="13">ROUND(SUM(G43:G58),0)</f>
        <v>127719000</v>
      </c>
      <c r="H42" s="493">
        <f t="shared" si="13"/>
        <v>9101918</v>
      </c>
      <c r="I42" s="493">
        <f t="shared" si="13"/>
        <v>10301918</v>
      </c>
      <c r="J42" s="493">
        <f t="shared" si="13"/>
        <v>26701918</v>
      </c>
      <c r="K42" s="493">
        <f t="shared" si="13"/>
        <v>6468918</v>
      </c>
      <c r="L42" s="493">
        <f t="shared" si="13"/>
        <v>6469018</v>
      </c>
      <c r="M42" s="493">
        <f>ROUND(SUM(M43:M57),0)</f>
        <v>23719484</v>
      </c>
      <c r="N42" s="493">
        <f>ROUND(SUM(N43:N57),0)</f>
        <v>6418584</v>
      </c>
      <c r="O42" s="493">
        <f>ROUND(SUM(O43:O57),0)</f>
        <v>6418584</v>
      </c>
      <c r="P42" s="493">
        <f>ROUND(SUM(P43:P58),0)</f>
        <v>7466918</v>
      </c>
      <c r="Q42" s="493">
        <f>ROUND(SUM(Q43:Q58),0)</f>
        <v>7701918</v>
      </c>
      <c r="R42" s="493">
        <f>ROUND(SUM(R43:R58),0)</f>
        <v>8201918</v>
      </c>
      <c r="S42" s="493">
        <f>ROUND(SUM(S43:S58),0)</f>
        <v>8497902</v>
      </c>
      <c r="T42" s="494">
        <f>SUM(T43:T58)</f>
        <v>127719000</v>
      </c>
      <c r="U42" s="26">
        <f t="shared" si="4"/>
        <v>0</v>
      </c>
    </row>
    <row r="43" spans="1:21" ht="14.25">
      <c r="A43" s="477" t="s">
        <v>42</v>
      </c>
      <c r="B43" s="128" t="s">
        <v>43</v>
      </c>
      <c r="C43" s="489">
        <v>9000000</v>
      </c>
      <c r="D43" s="490"/>
      <c r="E43" s="40"/>
      <c r="F43" s="119"/>
      <c r="G43" s="119">
        <f>C43+D43+E43-F43</f>
        <v>9000000</v>
      </c>
      <c r="H43" s="40">
        <v>1400000</v>
      </c>
      <c r="I43" s="40">
        <v>2500000</v>
      </c>
      <c r="J43" s="40"/>
      <c r="K43" s="40"/>
      <c r="L43" s="44"/>
      <c r="M43" s="40">
        <v>1200000</v>
      </c>
      <c r="N43" s="40"/>
      <c r="O43" s="44"/>
      <c r="P43" s="40"/>
      <c r="Q43" s="40">
        <v>1200000</v>
      </c>
      <c r="R43" s="44">
        <v>1700000</v>
      </c>
      <c r="S43" s="44">
        <v>1000000</v>
      </c>
      <c r="T43" s="481">
        <f>SUM(H43:S43)</f>
        <v>9000000</v>
      </c>
      <c r="U43" s="26">
        <f t="shared" si="4"/>
        <v>0</v>
      </c>
    </row>
    <row r="44" spans="1:21" ht="14.25">
      <c r="A44" s="477">
        <v>2020120202</v>
      </c>
      <c r="B44" s="128" t="s">
        <v>44</v>
      </c>
      <c r="C44" s="489">
        <v>52500000</v>
      </c>
      <c r="D44" s="490"/>
      <c r="E44" s="40"/>
      <c r="F44" s="119"/>
      <c r="G44" s="119">
        <f t="shared" ref="G44:G76" si="14">C44+D44+E44-F44</f>
        <v>52500000</v>
      </c>
      <c r="H44" s="40">
        <v>4375000</v>
      </c>
      <c r="I44" s="40">
        <v>4375000</v>
      </c>
      <c r="J44" s="40">
        <v>4375000</v>
      </c>
      <c r="K44" s="40">
        <v>4375000</v>
      </c>
      <c r="L44" s="40">
        <v>4375000</v>
      </c>
      <c r="M44" s="40">
        <v>4375000</v>
      </c>
      <c r="N44" s="40">
        <v>4375000</v>
      </c>
      <c r="O44" s="40">
        <v>4375000</v>
      </c>
      <c r="P44" s="40">
        <v>4375000</v>
      </c>
      <c r="Q44" s="40">
        <v>4375000</v>
      </c>
      <c r="R44" s="40">
        <v>4375000</v>
      </c>
      <c r="S44" s="40">
        <v>4375000</v>
      </c>
      <c r="T44" s="481">
        <f t="shared" si="11"/>
        <v>52500000</v>
      </c>
      <c r="U44" s="26">
        <f t="shared" si="4"/>
        <v>0</v>
      </c>
    </row>
    <row r="45" spans="1:21" ht="14.25">
      <c r="A45" s="477" t="s">
        <v>45</v>
      </c>
      <c r="B45" s="128" t="s">
        <v>46</v>
      </c>
      <c r="C45" s="489">
        <v>2000000</v>
      </c>
      <c r="D45" s="479"/>
      <c r="E45" s="119"/>
      <c r="F45" s="119"/>
      <c r="G45" s="119">
        <f t="shared" si="14"/>
        <v>2000000</v>
      </c>
      <c r="H45" s="40">
        <v>200000</v>
      </c>
      <c r="I45" s="482"/>
      <c r="J45" s="482"/>
      <c r="K45" s="482">
        <v>167000</v>
      </c>
      <c r="L45" s="482">
        <v>167100</v>
      </c>
      <c r="M45" s="482">
        <v>300900</v>
      </c>
      <c r="N45" s="482">
        <v>200000</v>
      </c>
      <c r="O45" s="44">
        <v>200000</v>
      </c>
      <c r="P45" s="44">
        <v>165000</v>
      </c>
      <c r="Q45" s="482">
        <v>200000</v>
      </c>
      <c r="R45" s="44">
        <v>200000</v>
      </c>
      <c r="S45" s="44">
        <v>200000</v>
      </c>
      <c r="T45" s="481">
        <f t="shared" si="11"/>
        <v>2000000</v>
      </c>
      <c r="U45" s="26">
        <f t="shared" si="4"/>
        <v>0</v>
      </c>
    </row>
    <row r="46" spans="1:21" ht="14.25">
      <c r="A46" s="477" t="s">
        <v>47</v>
      </c>
      <c r="B46" s="128" t="s">
        <v>48</v>
      </c>
      <c r="C46" s="489">
        <v>11619000</v>
      </c>
      <c r="D46" s="479"/>
      <c r="E46" s="119"/>
      <c r="F46" s="119"/>
      <c r="G46" s="119">
        <f t="shared" si="14"/>
        <v>11619000</v>
      </c>
      <c r="H46" s="40">
        <v>968250</v>
      </c>
      <c r="I46" s="40">
        <v>968250</v>
      </c>
      <c r="J46" s="40">
        <v>968250</v>
      </c>
      <c r="K46" s="40">
        <v>968250</v>
      </c>
      <c r="L46" s="40">
        <v>968250</v>
      </c>
      <c r="M46" s="40">
        <v>968250</v>
      </c>
      <c r="N46" s="40">
        <v>968250</v>
      </c>
      <c r="O46" s="40">
        <v>968250</v>
      </c>
      <c r="P46" s="40">
        <v>968250</v>
      </c>
      <c r="Q46" s="40">
        <v>968250</v>
      </c>
      <c r="R46" s="40">
        <v>968250</v>
      </c>
      <c r="S46" s="40">
        <v>968250</v>
      </c>
      <c r="T46" s="481">
        <f t="shared" si="11"/>
        <v>11619000</v>
      </c>
      <c r="U46" s="26">
        <f t="shared" si="4"/>
        <v>0</v>
      </c>
    </row>
    <row r="47" spans="1:21" ht="14.25">
      <c r="A47" s="477" t="s">
        <v>49</v>
      </c>
      <c r="B47" s="128" t="s">
        <v>50</v>
      </c>
      <c r="C47" s="489">
        <v>8000000</v>
      </c>
      <c r="D47" s="479"/>
      <c r="E47" s="40"/>
      <c r="F47" s="119"/>
      <c r="G47" s="119">
        <f t="shared" si="14"/>
        <v>8000000</v>
      </c>
      <c r="H47" s="40">
        <v>667000</v>
      </c>
      <c r="I47" s="40">
        <v>667000</v>
      </c>
      <c r="J47" s="40">
        <v>667000</v>
      </c>
      <c r="K47" s="40">
        <v>667000</v>
      </c>
      <c r="L47" s="40">
        <v>667000</v>
      </c>
      <c r="M47" s="40">
        <v>667000</v>
      </c>
      <c r="N47" s="40">
        <v>667000</v>
      </c>
      <c r="O47" s="40">
        <v>667000</v>
      </c>
      <c r="P47" s="40">
        <v>667000</v>
      </c>
      <c r="Q47" s="40">
        <v>667000</v>
      </c>
      <c r="R47" s="40">
        <v>667000</v>
      </c>
      <c r="S47" s="40">
        <v>663000</v>
      </c>
      <c r="T47" s="481">
        <f t="shared" si="11"/>
        <v>8000000</v>
      </c>
      <c r="U47" s="26">
        <f t="shared" si="4"/>
        <v>0</v>
      </c>
    </row>
    <row r="48" spans="1:21" ht="14.25">
      <c r="A48" s="477" t="s">
        <v>51</v>
      </c>
      <c r="B48" s="128" t="s">
        <v>52</v>
      </c>
      <c r="C48" s="489">
        <v>2500000</v>
      </c>
      <c r="D48" s="479"/>
      <c r="E48" s="119"/>
      <c r="F48" s="119"/>
      <c r="G48" s="119">
        <f t="shared" si="14"/>
        <v>2500000</v>
      </c>
      <c r="H48" s="40">
        <v>208334</v>
      </c>
      <c r="I48" s="40">
        <v>208334</v>
      </c>
      <c r="J48" s="40">
        <v>208334</v>
      </c>
      <c r="K48" s="40">
        <v>208334</v>
      </c>
      <c r="L48" s="40">
        <v>208334</v>
      </c>
      <c r="M48" s="40">
        <v>208334</v>
      </c>
      <c r="N48" s="40">
        <v>208334</v>
      </c>
      <c r="O48" s="40">
        <v>208334</v>
      </c>
      <c r="P48" s="40">
        <v>208334</v>
      </c>
      <c r="Q48" s="40">
        <v>208334</v>
      </c>
      <c r="R48" s="40">
        <v>208334</v>
      </c>
      <c r="S48" s="40">
        <v>208326</v>
      </c>
      <c r="T48" s="481">
        <f t="shared" si="11"/>
        <v>2500000</v>
      </c>
      <c r="U48" s="26">
        <f t="shared" si="4"/>
        <v>0</v>
      </c>
    </row>
    <row r="49" spans="1:22" ht="14.25">
      <c r="A49" s="477" t="s">
        <v>53</v>
      </c>
      <c r="B49" s="128" t="s">
        <v>54</v>
      </c>
      <c r="C49" s="489">
        <v>1500000</v>
      </c>
      <c r="D49" s="479"/>
      <c r="E49" s="119"/>
      <c r="F49" s="119"/>
      <c r="G49" s="119">
        <f t="shared" si="14"/>
        <v>1500000</v>
      </c>
      <c r="H49" s="40"/>
      <c r="I49" s="40">
        <v>1500000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81">
        <f t="shared" si="11"/>
        <v>1500000</v>
      </c>
      <c r="U49" s="26">
        <f t="shared" si="4"/>
        <v>0</v>
      </c>
    </row>
    <row r="50" spans="1:22" ht="14.25">
      <c r="A50" s="477" t="s">
        <v>55</v>
      </c>
      <c r="B50" s="128" t="s">
        <v>56</v>
      </c>
      <c r="C50" s="489">
        <v>0</v>
      </c>
      <c r="D50" s="479"/>
      <c r="E50" s="119"/>
      <c r="F50" s="119"/>
      <c r="G50" s="119">
        <f t="shared" si="14"/>
        <v>0</v>
      </c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481">
        <f t="shared" si="11"/>
        <v>0</v>
      </c>
      <c r="U50" s="26">
        <f t="shared" si="4"/>
        <v>0</v>
      </c>
    </row>
    <row r="51" spans="1:22" ht="14.25">
      <c r="A51" s="477" t="s">
        <v>57</v>
      </c>
      <c r="B51" s="128" t="s">
        <v>58</v>
      </c>
      <c r="C51" s="489">
        <v>9400000</v>
      </c>
      <c r="D51" s="479"/>
      <c r="E51" s="40"/>
      <c r="F51" s="119"/>
      <c r="G51" s="119">
        <f t="shared" si="14"/>
        <v>9400000</v>
      </c>
      <c r="H51" s="40"/>
      <c r="I51" s="495"/>
      <c r="J51" s="495">
        <v>9400000</v>
      </c>
      <c r="K51" s="495"/>
      <c r="L51" s="495"/>
      <c r="M51" s="495"/>
      <c r="N51" s="495"/>
      <c r="O51" s="495"/>
      <c r="P51" s="495"/>
      <c r="Q51" s="495"/>
      <c r="R51" s="44"/>
      <c r="S51" s="44"/>
      <c r="T51" s="481">
        <f t="shared" si="11"/>
        <v>9400000</v>
      </c>
      <c r="U51" s="26">
        <f t="shared" si="4"/>
        <v>0</v>
      </c>
    </row>
    <row r="52" spans="1:22" ht="14.25">
      <c r="A52" s="477" t="s">
        <v>59</v>
      </c>
      <c r="B52" s="128" t="s">
        <v>60</v>
      </c>
      <c r="C52" s="489">
        <v>10000000</v>
      </c>
      <c r="D52" s="479"/>
      <c r="E52" s="119"/>
      <c r="F52" s="119"/>
      <c r="G52" s="119">
        <f t="shared" si="14"/>
        <v>10000000</v>
      </c>
      <c r="H52" s="40"/>
      <c r="I52" s="495"/>
      <c r="J52" s="495">
        <v>10000000</v>
      </c>
      <c r="K52" s="495"/>
      <c r="L52" s="495"/>
      <c r="M52" s="495"/>
      <c r="N52" s="495"/>
      <c r="O52" s="495"/>
      <c r="P52" s="495"/>
      <c r="Q52" s="495"/>
      <c r="R52" s="495"/>
      <c r="S52" s="495"/>
      <c r="T52" s="481">
        <f t="shared" si="11"/>
        <v>10000000</v>
      </c>
      <c r="U52" s="26">
        <f t="shared" si="4"/>
        <v>0</v>
      </c>
    </row>
    <row r="53" spans="1:22" ht="14.25">
      <c r="A53" s="477" t="s">
        <v>61</v>
      </c>
      <c r="B53" s="128" t="s">
        <v>62</v>
      </c>
      <c r="C53" s="489">
        <v>4000000</v>
      </c>
      <c r="D53" s="479"/>
      <c r="E53" s="119"/>
      <c r="F53" s="119"/>
      <c r="G53" s="119">
        <f t="shared" si="14"/>
        <v>4000000</v>
      </c>
      <c r="H53" s="40"/>
      <c r="I53" s="40"/>
      <c r="J53" s="40">
        <v>1000000</v>
      </c>
      <c r="K53" s="40"/>
      <c r="L53" s="40"/>
      <c r="M53" s="40">
        <v>1000000</v>
      </c>
      <c r="N53" s="40"/>
      <c r="O53" s="40"/>
      <c r="P53" s="40">
        <v>1000000</v>
      </c>
      <c r="Q53" s="40"/>
      <c r="R53" s="44"/>
      <c r="S53" s="44">
        <v>1000000</v>
      </c>
      <c r="T53" s="481">
        <f t="shared" si="11"/>
        <v>4000000</v>
      </c>
      <c r="U53" s="26">
        <f t="shared" si="4"/>
        <v>0</v>
      </c>
    </row>
    <row r="54" spans="1:22" ht="14.25">
      <c r="A54" s="477" t="s">
        <v>63</v>
      </c>
      <c r="B54" s="128" t="s">
        <v>64</v>
      </c>
      <c r="C54" s="489">
        <v>15000000</v>
      </c>
      <c r="D54" s="479"/>
      <c r="E54" s="119"/>
      <c r="F54" s="119"/>
      <c r="G54" s="119">
        <f t="shared" si="14"/>
        <v>15000000</v>
      </c>
      <c r="H54" s="40">
        <v>0</v>
      </c>
      <c r="I54" s="40">
        <v>0</v>
      </c>
      <c r="J54" s="40">
        <v>0</v>
      </c>
      <c r="K54" s="40">
        <v>0</v>
      </c>
      <c r="L54" s="40"/>
      <c r="M54" s="40">
        <v>15000000</v>
      </c>
      <c r="N54" s="40"/>
      <c r="O54" s="40"/>
      <c r="P54" s="40"/>
      <c r="Q54" s="40"/>
      <c r="R54" s="44"/>
      <c r="S54" s="44"/>
      <c r="T54" s="481">
        <f t="shared" si="11"/>
        <v>15000000</v>
      </c>
      <c r="U54" s="26">
        <f t="shared" si="4"/>
        <v>0</v>
      </c>
    </row>
    <row r="55" spans="1:22" ht="14.25">
      <c r="A55" s="477">
        <v>2020120213</v>
      </c>
      <c r="B55" s="128" t="s">
        <v>65</v>
      </c>
      <c r="C55" s="489">
        <v>0</v>
      </c>
      <c r="D55" s="479"/>
      <c r="E55" s="119"/>
      <c r="F55" s="119"/>
      <c r="G55" s="119">
        <f t="shared" si="14"/>
        <v>0</v>
      </c>
      <c r="H55" s="40">
        <v>0</v>
      </c>
      <c r="I55" s="40">
        <v>0</v>
      </c>
      <c r="J55" s="40">
        <v>0</v>
      </c>
      <c r="K55" s="40">
        <v>0</v>
      </c>
      <c r="L55" s="40"/>
      <c r="M55" s="40"/>
      <c r="N55" s="40"/>
      <c r="O55" s="40"/>
      <c r="P55" s="40"/>
      <c r="Q55" s="40"/>
      <c r="R55" s="44"/>
      <c r="S55" s="44"/>
      <c r="T55" s="481">
        <f t="shared" si="11"/>
        <v>0</v>
      </c>
      <c r="U55" s="26">
        <f t="shared" si="4"/>
        <v>0</v>
      </c>
    </row>
    <row r="56" spans="1:22" ht="14.25">
      <c r="A56" s="477" t="s">
        <v>66</v>
      </c>
      <c r="B56" s="128" t="s">
        <v>67</v>
      </c>
      <c r="C56" s="489">
        <v>0</v>
      </c>
      <c r="D56" s="479"/>
      <c r="E56" s="119"/>
      <c r="F56" s="119"/>
      <c r="G56" s="119">
        <f t="shared" si="14"/>
        <v>0</v>
      </c>
      <c r="H56" s="40">
        <v>0</v>
      </c>
      <c r="I56" s="40">
        <v>0</v>
      </c>
      <c r="J56" s="40">
        <v>0</v>
      </c>
      <c r="K56" s="40">
        <v>0</v>
      </c>
      <c r="L56" s="40"/>
      <c r="M56" s="40"/>
      <c r="N56" s="40"/>
      <c r="O56" s="40"/>
      <c r="P56" s="40"/>
      <c r="Q56" s="40"/>
      <c r="R56" s="44"/>
      <c r="S56" s="44"/>
      <c r="T56" s="481">
        <f t="shared" si="11"/>
        <v>0</v>
      </c>
      <c r="U56" s="26">
        <f t="shared" si="4"/>
        <v>0</v>
      </c>
    </row>
    <row r="57" spans="1:22" ht="14.25">
      <c r="A57" s="477">
        <v>2020120215</v>
      </c>
      <c r="B57" s="128" t="s">
        <v>97</v>
      </c>
      <c r="C57" s="489">
        <v>1200000</v>
      </c>
      <c r="D57" s="479"/>
      <c r="E57" s="40"/>
      <c r="F57" s="119"/>
      <c r="G57" s="119">
        <f t="shared" si="14"/>
        <v>1200000</v>
      </c>
      <c r="H57" s="44">
        <v>1200000</v>
      </c>
      <c r="I57" s="44">
        <v>0</v>
      </c>
      <c r="J57" s="44">
        <v>0</v>
      </c>
      <c r="K57" s="44">
        <v>0</v>
      </c>
      <c r="L57" s="44"/>
      <c r="M57" s="44"/>
      <c r="N57" s="44"/>
      <c r="O57" s="44"/>
      <c r="P57" s="44"/>
      <c r="Q57" s="44"/>
      <c r="R57" s="44"/>
      <c r="S57" s="44"/>
      <c r="T57" s="481">
        <f t="shared" si="11"/>
        <v>1200000</v>
      </c>
      <c r="U57" s="26">
        <f t="shared" si="4"/>
        <v>0</v>
      </c>
    </row>
    <row r="58" spans="1:22" ht="14.25">
      <c r="A58" s="477">
        <v>2020120216</v>
      </c>
      <c r="B58" s="496" t="s">
        <v>148</v>
      </c>
      <c r="C58" s="489">
        <v>1000000</v>
      </c>
      <c r="D58" s="479"/>
      <c r="E58" s="40"/>
      <c r="F58" s="119"/>
      <c r="G58" s="119">
        <f t="shared" si="14"/>
        <v>1000000</v>
      </c>
      <c r="H58" s="44">
        <v>83334</v>
      </c>
      <c r="I58" s="44">
        <v>83334</v>
      </c>
      <c r="J58" s="44">
        <v>83334</v>
      </c>
      <c r="K58" s="44">
        <v>83334</v>
      </c>
      <c r="L58" s="44">
        <v>83334</v>
      </c>
      <c r="M58" s="44">
        <v>83334</v>
      </c>
      <c r="N58" s="44">
        <v>83334</v>
      </c>
      <c r="O58" s="44">
        <v>83334</v>
      </c>
      <c r="P58" s="44">
        <v>83334</v>
      </c>
      <c r="Q58" s="44">
        <v>83334</v>
      </c>
      <c r="R58" s="44">
        <v>83334</v>
      </c>
      <c r="S58" s="44">
        <v>83326</v>
      </c>
      <c r="T58" s="481">
        <f t="shared" si="11"/>
        <v>1000000</v>
      </c>
      <c r="U58" s="26">
        <f t="shared" si="4"/>
        <v>0</v>
      </c>
    </row>
    <row r="59" spans="1:22">
      <c r="A59" s="471" t="s">
        <v>68</v>
      </c>
      <c r="B59" s="491" t="s">
        <v>134</v>
      </c>
      <c r="C59" s="491">
        <f>SUM(C60:C63)</f>
        <v>83629741</v>
      </c>
      <c r="D59" s="491">
        <f>SUM(D60:D63)</f>
        <v>0</v>
      </c>
      <c r="E59" s="491">
        <f>SUM(E60:E63)</f>
        <v>0</v>
      </c>
      <c r="F59" s="493">
        <f>SUM(F60:F63)</f>
        <v>0</v>
      </c>
      <c r="G59" s="493">
        <f>ROUND(SUM(G60:G63),0)</f>
        <v>83629741</v>
      </c>
      <c r="H59" s="493">
        <f t="shared" ref="H59:S59" si="15">ROUND(SUM(H60:H63),0)</f>
        <v>5535806</v>
      </c>
      <c r="I59" s="493">
        <f t="shared" si="15"/>
        <v>5035806</v>
      </c>
      <c r="J59" s="493">
        <f t="shared" si="15"/>
        <v>5035806</v>
      </c>
      <c r="K59" s="493">
        <f t="shared" si="15"/>
        <v>5035806</v>
      </c>
      <c r="L59" s="493">
        <f t="shared" si="15"/>
        <v>5035806</v>
      </c>
      <c r="M59" s="493">
        <f t="shared" si="15"/>
        <v>5035806</v>
      </c>
      <c r="N59" s="493">
        <f t="shared" si="15"/>
        <v>5035806</v>
      </c>
      <c r="O59" s="493">
        <f t="shared" si="15"/>
        <v>5035806</v>
      </c>
      <c r="P59" s="493">
        <f t="shared" si="15"/>
        <v>5035806</v>
      </c>
      <c r="Q59" s="493">
        <f t="shared" si="15"/>
        <v>5035806</v>
      </c>
      <c r="R59" s="493">
        <f t="shared" si="15"/>
        <v>5035806</v>
      </c>
      <c r="S59" s="493">
        <f t="shared" si="15"/>
        <v>27735875</v>
      </c>
      <c r="T59" s="493">
        <f>SUM(T60:T63)</f>
        <v>83629741</v>
      </c>
      <c r="U59" s="26">
        <f t="shared" si="4"/>
        <v>0</v>
      </c>
    </row>
    <row r="60" spans="1:22" ht="14.25">
      <c r="A60" s="477" t="s">
        <v>70</v>
      </c>
      <c r="B60" s="128" t="s">
        <v>71</v>
      </c>
      <c r="C60" s="497">
        <v>16000083</v>
      </c>
      <c r="D60" s="479"/>
      <c r="E60" s="119"/>
      <c r="F60" s="119"/>
      <c r="G60" s="119">
        <f t="shared" si="14"/>
        <v>16000083</v>
      </c>
      <c r="H60" s="40">
        <v>0</v>
      </c>
      <c r="I60" s="498"/>
      <c r="J60" s="498"/>
      <c r="K60" s="498"/>
      <c r="L60" s="498"/>
      <c r="M60" s="498"/>
      <c r="N60" s="498"/>
      <c r="O60" s="44"/>
      <c r="P60" s="44"/>
      <c r="Q60" s="44"/>
      <c r="R60" s="44"/>
      <c r="S60" s="44">
        <v>16000083</v>
      </c>
      <c r="T60" s="481">
        <f t="shared" si="11"/>
        <v>16000083</v>
      </c>
      <c r="U60" s="26">
        <f t="shared" si="4"/>
        <v>0</v>
      </c>
    </row>
    <row r="61" spans="1:22" ht="14.25">
      <c r="A61" s="477" t="s">
        <v>72</v>
      </c>
      <c r="B61" s="128" t="s">
        <v>73</v>
      </c>
      <c r="C61" s="497">
        <v>46429658</v>
      </c>
      <c r="D61" s="479"/>
      <c r="E61" s="119"/>
      <c r="F61" s="119"/>
      <c r="G61" s="119">
        <f t="shared" si="14"/>
        <v>46429658</v>
      </c>
      <c r="H61" s="40">
        <v>3869139</v>
      </c>
      <c r="I61" s="40">
        <v>3869139</v>
      </c>
      <c r="J61" s="40">
        <v>3869139</v>
      </c>
      <c r="K61" s="40">
        <v>3869139</v>
      </c>
      <c r="L61" s="40">
        <v>3869139</v>
      </c>
      <c r="M61" s="40">
        <v>3869139</v>
      </c>
      <c r="N61" s="40">
        <v>3869139</v>
      </c>
      <c r="O61" s="40">
        <v>3869139</v>
      </c>
      <c r="P61" s="40">
        <v>3869139</v>
      </c>
      <c r="Q61" s="40">
        <v>3869139</v>
      </c>
      <c r="R61" s="40">
        <v>3869139</v>
      </c>
      <c r="S61" s="40">
        <v>3869129</v>
      </c>
      <c r="T61" s="481">
        <f t="shared" si="11"/>
        <v>46429658</v>
      </c>
      <c r="U61" s="26">
        <f t="shared" si="4"/>
        <v>0</v>
      </c>
      <c r="V61" s="26"/>
    </row>
    <row r="62" spans="1:22" ht="14.25">
      <c r="A62" s="477">
        <v>2020110304</v>
      </c>
      <c r="B62" s="128" t="s">
        <v>74</v>
      </c>
      <c r="C62" s="497">
        <v>14000000</v>
      </c>
      <c r="D62" s="479"/>
      <c r="E62" s="119"/>
      <c r="F62" s="119"/>
      <c r="G62" s="119">
        <f t="shared" si="14"/>
        <v>14000000</v>
      </c>
      <c r="H62" s="40">
        <v>1166667</v>
      </c>
      <c r="I62" s="40">
        <v>1166667</v>
      </c>
      <c r="J62" s="40">
        <v>1166667</v>
      </c>
      <c r="K62" s="40">
        <v>1166667</v>
      </c>
      <c r="L62" s="40">
        <v>1166667</v>
      </c>
      <c r="M62" s="40">
        <v>1166667</v>
      </c>
      <c r="N62" s="40">
        <v>1166667</v>
      </c>
      <c r="O62" s="40">
        <v>1166667</v>
      </c>
      <c r="P62" s="40">
        <v>1166667</v>
      </c>
      <c r="Q62" s="40">
        <v>1166667</v>
      </c>
      <c r="R62" s="40">
        <v>1166667</v>
      </c>
      <c r="S62" s="40">
        <v>1166663</v>
      </c>
      <c r="T62" s="481">
        <f t="shared" si="11"/>
        <v>14000000</v>
      </c>
      <c r="U62" s="26">
        <f t="shared" si="4"/>
        <v>0</v>
      </c>
    </row>
    <row r="63" spans="1:22" ht="14.25">
      <c r="A63" s="477">
        <v>2020110305</v>
      </c>
      <c r="B63" s="128" t="s">
        <v>75</v>
      </c>
      <c r="C63" s="497">
        <v>7200000</v>
      </c>
      <c r="D63" s="479"/>
      <c r="E63" s="119"/>
      <c r="F63" s="119"/>
      <c r="G63" s="119">
        <f t="shared" si="14"/>
        <v>7200000</v>
      </c>
      <c r="H63" s="40">
        <v>500000</v>
      </c>
      <c r="I63" s="482">
        <v>0</v>
      </c>
      <c r="J63" s="482">
        <v>0</v>
      </c>
      <c r="K63" s="482">
        <v>0</v>
      </c>
      <c r="L63" s="482">
        <v>0</v>
      </c>
      <c r="M63" s="482"/>
      <c r="N63" s="482">
        <v>0</v>
      </c>
      <c r="O63" s="482">
        <v>0</v>
      </c>
      <c r="P63" s="482">
        <v>0</v>
      </c>
      <c r="Q63" s="482">
        <v>0</v>
      </c>
      <c r="R63" s="482">
        <v>0</v>
      </c>
      <c r="S63" s="44">
        <v>6700000</v>
      </c>
      <c r="T63" s="481">
        <f t="shared" si="11"/>
        <v>7200000</v>
      </c>
      <c r="U63" s="26">
        <f t="shared" si="4"/>
        <v>0</v>
      </c>
    </row>
    <row r="64" spans="1:22">
      <c r="A64" s="471">
        <v>20201104</v>
      </c>
      <c r="B64" s="491" t="s">
        <v>135</v>
      </c>
      <c r="C64" s="491">
        <f>SUM(C65:C74)</f>
        <v>177100000</v>
      </c>
      <c r="D64" s="491">
        <f>SUM(D65:D74)</f>
        <v>0</v>
      </c>
      <c r="E64" s="491">
        <f>SUM(E65:E74)</f>
        <v>0</v>
      </c>
      <c r="F64" s="491">
        <f>SUM(F65:F74)</f>
        <v>0</v>
      </c>
      <c r="G64" s="494">
        <f>SUM(G65:G74)</f>
        <v>177100000</v>
      </c>
      <c r="H64" s="494">
        <f t="shared" ref="H64:S64" si="16">SUM(H65:H74)</f>
        <v>11591665</v>
      </c>
      <c r="I64" s="494">
        <f t="shared" si="16"/>
        <v>10091665</v>
      </c>
      <c r="J64" s="494">
        <f t="shared" si="16"/>
        <v>10091665</v>
      </c>
      <c r="K64" s="494">
        <f t="shared" si="16"/>
        <v>10091665</v>
      </c>
      <c r="L64" s="494">
        <f t="shared" si="16"/>
        <v>10091665</v>
      </c>
      <c r="M64" s="494">
        <f t="shared" si="16"/>
        <v>10091665</v>
      </c>
      <c r="N64" s="494">
        <f t="shared" si="16"/>
        <v>10091665</v>
      </c>
      <c r="O64" s="494">
        <f t="shared" si="16"/>
        <v>10091665</v>
      </c>
      <c r="P64" s="494">
        <f t="shared" si="16"/>
        <v>10091665</v>
      </c>
      <c r="Q64" s="494">
        <f t="shared" si="16"/>
        <v>10091665</v>
      </c>
      <c r="R64" s="494">
        <f t="shared" si="16"/>
        <v>10091665</v>
      </c>
      <c r="S64" s="494">
        <f t="shared" si="16"/>
        <v>64591685</v>
      </c>
      <c r="T64" s="494">
        <f>SUM(T65:T74)</f>
        <v>177100000</v>
      </c>
      <c r="U64" s="26">
        <f t="shared" si="4"/>
        <v>0</v>
      </c>
    </row>
    <row r="65" spans="1:21" ht="14.25">
      <c r="A65" s="499" t="s">
        <v>77</v>
      </c>
      <c r="B65" s="128" t="s">
        <v>78</v>
      </c>
      <c r="C65" s="478">
        <v>56000000</v>
      </c>
      <c r="D65" s="479"/>
      <c r="E65" s="119"/>
      <c r="F65" s="119"/>
      <c r="G65" s="119">
        <f>ROUND((C65+D65+E65-F65),0)</f>
        <v>56000000</v>
      </c>
      <c r="H65" s="483">
        <v>1500000</v>
      </c>
      <c r="I65" s="483">
        <v>0</v>
      </c>
      <c r="J65" s="483">
        <v>0</v>
      </c>
      <c r="K65" s="483">
        <v>0</v>
      </c>
      <c r="L65" s="483">
        <v>0</v>
      </c>
      <c r="M65" s="483">
        <v>0</v>
      </c>
      <c r="N65" s="483"/>
      <c r="O65" s="483">
        <v>0</v>
      </c>
      <c r="P65" s="483">
        <v>0</v>
      </c>
      <c r="Q65" s="483">
        <v>0</v>
      </c>
      <c r="R65" s="483">
        <v>0</v>
      </c>
      <c r="S65" s="44">
        <v>54500000</v>
      </c>
      <c r="T65" s="481">
        <f>ROUND(SUM(H65:S65),0)</f>
        <v>56000000</v>
      </c>
      <c r="U65" s="26">
        <f t="shared" si="4"/>
        <v>0</v>
      </c>
    </row>
    <row r="66" spans="1:21" ht="14.25">
      <c r="A66" s="477" t="s">
        <v>79</v>
      </c>
      <c r="B66" s="128" t="s">
        <v>73</v>
      </c>
      <c r="C66" s="478">
        <v>0</v>
      </c>
      <c r="D66" s="479"/>
      <c r="E66" s="119"/>
      <c r="F66" s="119"/>
      <c r="G66" s="119">
        <f t="shared" ref="G66:G74" si="17">ROUND((C66+D66+E66-F66),0)</f>
        <v>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4"/>
      <c r="S66" s="44"/>
      <c r="T66" s="481">
        <f t="shared" ref="T66:T74" si="18">ROUND(SUM(H66:S66),0)</f>
        <v>0</v>
      </c>
      <c r="U66" s="26">
        <f t="shared" si="4"/>
        <v>0</v>
      </c>
    </row>
    <row r="67" spans="1:21" ht="14.25">
      <c r="A67" s="477" t="s">
        <v>80</v>
      </c>
      <c r="B67" s="128" t="s">
        <v>81</v>
      </c>
      <c r="C67" s="478">
        <v>3900000</v>
      </c>
      <c r="D67" s="479"/>
      <c r="E67" s="119"/>
      <c r="F67" s="119"/>
      <c r="G67" s="119">
        <f t="shared" si="17"/>
        <v>3900000</v>
      </c>
      <c r="H67" s="40">
        <v>325000</v>
      </c>
      <c r="I67" s="40">
        <v>325000</v>
      </c>
      <c r="J67" s="40">
        <v>325000</v>
      </c>
      <c r="K67" s="40">
        <v>325000</v>
      </c>
      <c r="L67" s="40">
        <v>325000</v>
      </c>
      <c r="M67" s="40">
        <v>325000</v>
      </c>
      <c r="N67" s="40">
        <v>325000</v>
      </c>
      <c r="O67" s="40">
        <v>325000</v>
      </c>
      <c r="P67" s="40">
        <v>325000</v>
      </c>
      <c r="Q67" s="40">
        <v>325000</v>
      </c>
      <c r="R67" s="40">
        <v>325000</v>
      </c>
      <c r="S67" s="40">
        <v>325000</v>
      </c>
      <c r="T67" s="481">
        <f t="shared" si="18"/>
        <v>3900000</v>
      </c>
      <c r="U67" s="26">
        <f t="shared" si="4"/>
        <v>0</v>
      </c>
    </row>
    <row r="68" spans="1:21" ht="14.25">
      <c r="A68" s="477" t="s">
        <v>82</v>
      </c>
      <c r="B68" s="128" t="s">
        <v>74</v>
      </c>
      <c r="C68" s="478">
        <v>52000000</v>
      </c>
      <c r="D68" s="479"/>
      <c r="E68" s="119"/>
      <c r="F68" s="119"/>
      <c r="G68" s="119">
        <f t="shared" si="17"/>
        <v>52000000</v>
      </c>
      <c r="H68" s="40">
        <v>4333334</v>
      </c>
      <c r="I68" s="40">
        <v>4333334</v>
      </c>
      <c r="J68" s="40">
        <v>4333334</v>
      </c>
      <c r="K68" s="40">
        <v>4333334</v>
      </c>
      <c r="L68" s="40">
        <v>4333334</v>
      </c>
      <c r="M68" s="40">
        <v>4333334</v>
      </c>
      <c r="N68" s="40">
        <v>4333334</v>
      </c>
      <c r="O68" s="40">
        <v>4333334</v>
      </c>
      <c r="P68" s="40">
        <v>4333334</v>
      </c>
      <c r="Q68" s="40">
        <v>4333334</v>
      </c>
      <c r="R68" s="40">
        <v>4333334</v>
      </c>
      <c r="S68" s="40">
        <v>4333326</v>
      </c>
      <c r="T68" s="481">
        <f t="shared" si="18"/>
        <v>52000000</v>
      </c>
      <c r="U68" s="26">
        <f t="shared" si="4"/>
        <v>0</v>
      </c>
    </row>
    <row r="69" spans="1:21" ht="14.25">
      <c r="A69" s="477" t="s">
        <v>83</v>
      </c>
      <c r="B69" s="128" t="s">
        <v>84</v>
      </c>
      <c r="C69" s="478">
        <v>27000000</v>
      </c>
      <c r="D69" s="479"/>
      <c r="E69" s="119"/>
      <c r="F69" s="119"/>
      <c r="G69" s="119">
        <f t="shared" si="17"/>
        <v>27000000</v>
      </c>
      <c r="H69" s="40">
        <v>2250000</v>
      </c>
      <c r="I69" s="40">
        <v>2250000</v>
      </c>
      <c r="J69" s="40">
        <v>2250000</v>
      </c>
      <c r="K69" s="40">
        <v>2250000</v>
      </c>
      <c r="L69" s="40">
        <v>2250000</v>
      </c>
      <c r="M69" s="40">
        <v>2250000</v>
      </c>
      <c r="N69" s="40">
        <v>2250000</v>
      </c>
      <c r="O69" s="40">
        <v>2250000</v>
      </c>
      <c r="P69" s="40">
        <v>2250000</v>
      </c>
      <c r="Q69" s="40">
        <v>2250000</v>
      </c>
      <c r="R69" s="40">
        <v>2250000</v>
      </c>
      <c r="S69" s="40">
        <v>2250000</v>
      </c>
      <c r="T69" s="481">
        <f t="shared" si="18"/>
        <v>27000000</v>
      </c>
      <c r="U69" s="26">
        <f t="shared" si="4"/>
        <v>0</v>
      </c>
    </row>
    <row r="70" spans="1:21" ht="14.25">
      <c r="A70" s="477" t="s">
        <v>85</v>
      </c>
      <c r="B70" s="128" t="s">
        <v>86</v>
      </c>
      <c r="C70" s="478">
        <v>23000000</v>
      </c>
      <c r="D70" s="479"/>
      <c r="E70" s="119"/>
      <c r="F70" s="119"/>
      <c r="G70" s="119">
        <f t="shared" si="17"/>
        <v>23000000</v>
      </c>
      <c r="H70" s="40">
        <v>1916667</v>
      </c>
      <c r="I70" s="40">
        <v>1916667</v>
      </c>
      <c r="J70" s="40">
        <v>1916667</v>
      </c>
      <c r="K70" s="40">
        <v>1916667</v>
      </c>
      <c r="L70" s="40">
        <v>1916667</v>
      </c>
      <c r="M70" s="40">
        <v>1916667</v>
      </c>
      <c r="N70" s="40">
        <v>1916667</v>
      </c>
      <c r="O70" s="40">
        <v>1916667</v>
      </c>
      <c r="P70" s="40">
        <v>1916667</v>
      </c>
      <c r="Q70" s="40">
        <v>1916667</v>
      </c>
      <c r="R70" s="40">
        <v>1916667</v>
      </c>
      <c r="S70" s="40">
        <v>1916663</v>
      </c>
      <c r="T70" s="481">
        <f t="shared" si="18"/>
        <v>23000000</v>
      </c>
      <c r="U70" s="26">
        <f t="shared" si="4"/>
        <v>0</v>
      </c>
    </row>
    <row r="71" spans="1:21" ht="14.25">
      <c r="A71" s="477" t="s">
        <v>87</v>
      </c>
      <c r="B71" s="128" t="s">
        <v>88</v>
      </c>
      <c r="C71" s="478">
        <v>4000000</v>
      </c>
      <c r="D71" s="479"/>
      <c r="E71" s="119"/>
      <c r="F71" s="119"/>
      <c r="G71" s="119">
        <f t="shared" si="17"/>
        <v>4000000</v>
      </c>
      <c r="H71" s="40">
        <v>333332</v>
      </c>
      <c r="I71" s="40">
        <v>333332</v>
      </c>
      <c r="J71" s="40">
        <v>333332</v>
      </c>
      <c r="K71" s="40">
        <v>333332</v>
      </c>
      <c r="L71" s="40">
        <v>333332</v>
      </c>
      <c r="M71" s="40">
        <v>333332</v>
      </c>
      <c r="N71" s="40">
        <v>333332</v>
      </c>
      <c r="O71" s="40">
        <v>333332</v>
      </c>
      <c r="P71" s="40">
        <v>333332</v>
      </c>
      <c r="Q71" s="40">
        <v>333332</v>
      </c>
      <c r="R71" s="40">
        <v>333332</v>
      </c>
      <c r="S71" s="40">
        <v>333348</v>
      </c>
      <c r="T71" s="481">
        <f t="shared" si="18"/>
        <v>4000000</v>
      </c>
      <c r="U71" s="26">
        <f t="shared" si="4"/>
        <v>0</v>
      </c>
    </row>
    <row r="72" spans="1:21" ht="14.25">
      <c r="A72" s="477" t="s">
        <v>89</v>
      </c>
      <c r="B72" s="128" t="s">
        <v>90</v>
      </c>
      <c r="C72" s="478">
        <v>4000000</v>
      </c>
      <c r="D72" s="479"/>
      <c r="E72" s="119"/>
      <c r="F72" s="119"/>
      <c r="G72" s="119">
        <f t="shared" si="17"/>
        <v>4000000</v>
      </c>
      <c r="H72" s="40">
        <v>333332</v>
      </c>
      <c r="I72" s="40">
        <v>333332</v>
      </c>
      <c r="J72" s="40">
        <v>333332</v>
      </c>
      <c r="K72" s="40">
        <v>333332</v>
      </c>
      <c r="L72" s="40">
        <v>333332</v>
      </c>
      <c r="M72" s="40">
        <v>333332</v>
      </c>
      <c r="N72" s="40">
        <v>333332</v>
      </c>
      <c r="O72" s="40">
        <v>333332</v>
      </c>
      <c r="P72" s="40">
        <v>333332</v>
      </c>
      <c r="Q72" s="40">
        <v>333332</v>
      </c>
      <c r="R72" s="40">
        <v>333332</v>
      </c>
      <c r="S72" s="40">
        <v>333348</v>
      </c>
      <c r="T72" s="481">
        <f t="shared" si="18"/>
        <v>4000000</v>
      </c>
      <c r="U72" s="26">
        <f t="shared" si="4"/>
        <v>0</v>
      </c>
    </row>
    <row r="73" spans="1:21" ht="14.25">
      <c r="A73" s="477" t="s">
        <v>91</v>
      </c>
      <c r="B73" s="128" t="s">
        <v>92</v>
      </c>
      <c r="C73" s="478">
        <v>7200000</v>
      </c>
      <c r="D73" s="479"/>
      <c r="E73" s="119"/>
      <c r="F73" s="119"/>
      <c r="G73" s="119">
        <f t="shared" si="17"/>
        <v>7200000</v>
      </c>
      <c r="H73" s="40">
        <v>600000</v>
      </c>
      <c r="I73" s="40">
        <v>600000</v>
      </c>
      <c r="J73" s="40">
        <v>600000</v>
      </c>
      <c r="K73" s="40">
        <v>600000</v>
      </c>
      <c r="L73" s="40">
        <v>600000</v>
      </c>
      <c r="M73" s="40">
        <v>600000</v>
      </c>
      <c r="N73" s="40">
        <v>600000</v>
      </c>
      <c r="O73" s="40">
        <v>600000</v>
      </c>
      <c r="P73" s="40">
        <v>600000</v>
      </c>
      <c r="Q73" s="40">
        <v>600000</v>
      </c>
      <c r="R73" s="40">
        <v>600000</v>
      </c>
      <c r="S73" s="40">
        <v>600000</v>
      </c>
      <c r="T73" s="481">
        <f t="shared" si="18"/>
        <v>7200000</v>
      </c>
      <c r="U73" s="26">
        <f t="shared" si="4"/>
        <v>0</v>
      </c>
    </row>
    <row r="74" spans="1:21" ht="14.25">
      <c r="A74" s="477" t="s">
        <v>93</v>
      </c>
      <c r="B74" s="128" t="s">
        <v>94</v>
      </c>
      <c r="C74" s="478">
        <v>0</v>
      </c>
      <c r="D74" s="479">
        <v>0</v>
      </c>
      <c r="E74" s="119">
        <v>0</v>
      </c>
      <c r="F74" s="119">
        <v>0</v>
      </c>
      <c r="G74" s="119">
        <f t="shared" si="17"/>
        <v>0</v>
      </c>
      <c r="H74" s="40"/>
      <c r="I74" s="40"/>
      <c r="J74" s="40">
        <v>0</v>
      </c>
      <c r="K74" s="40">
        <v>0</v>
      </c>
      <c r="L74" s="40">
        <v>0</v>
      </c>
      <c r="M74" s="40">
        <v>0</v>
      </c>
      <c r="N74" s="40"/>
      <c r="O74" s="40">
        <v>0</v>
      </c>
      <c r="P74" s="40">
        <v>0</v>
      </c>
      <c r="Q74" s="44">
        <f>ROUND($G$74/12,-1)</f>
        <v>0</v>
      </c>
      <c r="R74" s="44">
        <f>ROUND($G$74/12,-1)</f>
        <v>0</v>
      </c>
      <c r="S74" s="44">
        <f>G74-SUM(H74:R74)</f>
        <v>0</v>
      </c>
      <c r="T74" s="481">
        <f t="shared" si="18"/>
        <v>0</v>
      </c>
      <c r="U74" s="26">
        <f t="shared" si="4"/>
        <v>0</v>
      </c>
    </row>
    <row r="75" spans="1:21">
      <c r="A75" s="471">
        <v>20201301</v>
      </c>
      <c r="B75" s="491" t="s">
        <v>95</v>
      </c>
      <c r="C75" s="493">
        <f t="shared" ref="C75:T75" si="19">C76</f>
        <v>75000000</v>
      </c>
      <c r="D75" s="494">
        <f t="shared" si="19"/>
        <v>0</v>
      </c>
      <c r="E75" s="494">
        <f t="shared" si="19"/>
        <v>0</v>
      </c>
      <c r="F75" s="494">
        <f t="shared" si="19"/>
        <v>0</v>
      </c>
      <c r="G75" s="494">
        <f t="shared" si="19"/>
        <v>75000000</v>
      </c>
      <c r="H75" s="491">
        <f t="shared" si="19"/>
        <v>62534000</v>
      </c>
      <c r="I75" s="491">
        <f t="shared" si="19"/>
        <v>0</v>
      </c>
      <c r="J75" s="491">
        <f t="shared" si="19"/>
        <v>12466000</v>
      </c>
      <c r="K75" s="491">
        <f t="shared" si="19"/>
        <v>0</v>
      </c>
      <c r="L75" s="491">
        <f t="shared" si="19"/>
        <v>0</v>
      </c>
      <c r="M75" s="491">
        <f t="shared" si="19"/>
        <v>0</v>
      </c>
      <c r="N75" s="491">
        <f t="shared" si="19"/>
        <v>0</v>
      </c>
      <c r="O75" s="491">
        <f t="shared" si="19"/>
        <v>0</v>
      </c>
      <c r="P75" s="491">
        <f t="shared" si="19"/>
        <v>0</v>
      </c>
      <c r="Q75" s="491">
        <f t="shared" si="19"/>
        <v>0</v>
      </c>
      <c r="R75" s="491">
        <f t="shared" si="19"/>
        <v>0</v>
      </c>
      <c r="S75" s="491">
        <f t="shared" si="19"/>
        <v>0</v>
      </c>
      <c r="T75" s="491">
        <f t="shared" si="19"/>
        <v>75000000</v>
      </c>
      <c r="U75" s="26">
        <f t="shared" si="4"/>
        <v>0</v>
      </c>
    </row>
    <row r="76" spans="1:21" ht="15" thickBot="1">
      <c r="A76" s="500">
        <v>2020130101</v>
      </c>
      <c r="B76" s="501" t="s">
        <v>142</v>
      </c>
      <c r="C76" s="502">
        <v>75000000</v>
      </c>
      <c r="D76" s="503"/>
      <c r="E76" s="504"/>
      <c r="F76" s="504"/>
      <c r="G76" s="504">
        <f t="shared" si="14"/>
        <v>75000000</v>
      </c>
      <c r="H76" s="505">
        <v>62534000</v>
      </c>
      <c r="I76" s="505">
        <v>0</v>
      </c>
      <c r="J76" s="505">
        <v>12466000</v>
      </c>
      <c r="K76" s="505">
        <v>0</v>
      </c>
      <c r="L76" s="505">
        <v>0</v>
      </c>
      <c r="M76" s="505">
        <v>0</v>
      </c>
      <c r="N76" s="505"/>
      <c r="O76" s="505">
        <v>0</v>
      </c>
      <c r="P76" s="505"/>
      <c r="Q76" s="505"/>
      <c r="R76" s="505"/>
      <c r="S76" s="505"/>
      <c r="T76" s="481">
        <f>ROUND(SUM(H76:S76),0)</f>
        <v>75000000</v>
      </c>
      <c r="U76" s="26">
        <f t="shared" si="4"/>
        <v>0</v>
      </c>
    </row>
    <row r="77" spans="1:21">
      <c r="A77" s="491"/>
      <c r="B77" s="491" t="s">
        <v>136</v>
      </c>
      <c r="C77" s="494">
        <f>C64+C59+C42+C37+C32+C23+C75</f>
        <v>1155126065</v>
      </c>
      <c r="D77" s="494">
        <f>D64+D59+D42+D37+D32+D23+D75</f>
        <v>0</v>
      </c>
      <c r="E77" s="494">
        <f>E64+E59+E42+E37+E32+E23+E75</f>
        <v>0</v>
      </c>
      <c r="F77" s="494">
        <f>F64+F59+F42+F37+F32+F23+F75</f>
        <v>0</v>
      </c>
      <c r="G77" s="494">
        <f>G64+G59+G42+G37+G32+G23+G75</f>
        <v>1155126065</v>
      </c>
      <c r="H77" s="494">
        <f t="shared" ref="H77:O77" si="20">H64+H59+H42+H37+H32+H23</f>
        <v>104994166</v>
      </c>
      <c r="I77" s="494">
        <f t="shared" si="20"/>
        <v>75194166</v>
      </c>
      <c r="J77" s="494">
        <f t="shared" si="20"/>
        <v>82694166</v>
      </c>
      <c r="K77" s="494">
        <f t="shared" si="20"/>
        <v>63411166</v>
      </c>
      <c r="L77" s="494">
        <f t="shared" si="20"/>
        <v>63611266</v>
      </c>
      <c r="M77" s="494">
        <f t="shared" si="20"/>
        <v>90289468</v>
      </c>
      <c r="N77" s="494">
        <f t="shared" si="20"/>
        <v>91610832</v>
      </c>
      <c r="O77" s="494">
        <f t="shared" si="20"/>
        <v>67960832</v>
      </c>
      <c r="P77" s="494">
        <f>P64+P59+P42+P37+P32+P23+P75</f>
        <v>63459166</v>
      </c>
      <c r="Q77" s="494">
        <f>Q64+Q59+Q42+Q37+Q32+Q23</f>
        <v>78094166</v>
      </c>
      <c r="R77" s="494">
        <f>R64+R59+R42+R37+R32+R23</f>
        <v>75594166</v>
      </c>
      <c r="S77" s="494">
        <f>S23+S32+S37+S42+S59+S64+S75</f>
        <v>222962503</v>
      </c>
      <c r="T77" s="494">
        <f>T75+T64+T59+T42+T37+T32+T23</f>
        <v>1155126065</v>
      </c>
      <c r="U77" s="26">
        <f t="shared" si="4"/>
        <v>0</v>
      </c>
    </row>
    <row r="78" spans="1:21">
      <c r="A78" s="421"/>
      <c r="B78" s="435"/>
      <c r="C78" s="436"/>
      <c r="D78" s="437"/>
      <c r="E78" s="436"/>
      <c r="F78" s="436"/>
      <c r="G78" s="436"/>
      <c r="H78" s="436"/>
      <c r="I78" s="436"/>
      <c r="J78" s="436"/>
      <c r="K78" s="436"/>
      <c r="L78" s="436"/>
      <c r="M78" s="436"/>
      <c r="N78" s="436"/>
      <c r="O78" s="436"/>
      <c r="P78" s="436"/>
      <c r="Q78" s="436"/>
      <c r="R78" s="436"/>
      <c r="S78" s="436"/>
      <c r="T78" s="438"/>
    </row>
    <row r="79" spans="1:21">
      <c r="A79" s="421"/>
      <c r="B79" s="435"/>
      <c r="C79" s="436"/>
      <c r="D79" s="435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62"/>
      <c r="Q79" s="462"/>
      <c r="R79" s="462"/>
      <c r="S79" s="462"/>
      <c r="T79" s="438"/>
    </row>
    <row r="80" spans="1:21">
      <c r="A80" s="421"/>
      <c r="B80" s="435"/>
      <c r="C80" s="462"/>
      <c r="D80" s="435"/>
      <c r="E80" s="462"/>
      <c r="F80" s="506"/>
      <c r="G80" s="507" t="s">
        <v>139</v>
      </c>
      <c r="H80" s="462"/>
      <c r="I80" s="462"/>
      <c r="J80" s="462"/>
      <c r="K80" s="462"/>
      <c r="L80" s="462"/>
      <c r="M80" s="462"/>
      <c r="N80" s="462"/>
      <c r="O80" s="462"/>
      <c r="P80" s="507" t="s">
        <v>137</v>
      </c>
      <c r="Q80" s="462"/>
      <c r="R80" s="462"/>
      <c r="S80" s="462"/>
      <c r="T80" s="508"/>
    </row>
    <row r="81" spans="1:20">
      <c r="A81" s="421"/>
      <c r="B81" s="435"/>
      <c r="C81" s="509"/>
      <c r="D81" s="435"/>
      <c r="E81" s="462"/>
      <c r="F81" s="506"/>
      <c r="G81" s="510" t="s">
        <v>141</v>
      </c>
      <c r="H81" s="462"/>
      <c r="I81" s="462"/>
      <c r="J81" s="462"/>
      <c r="K81" s="462"/>
      <c r="L81" s="462"/>
      <c r="M81" s="462"/>
      <c r="N81" s="462"/>
      <c r="O81" s="462"/>
      <c r="P81" s="462" t="s">
        <v>138</v>
      </c>
      <c r="Q81" s="507"/>
      <c r="R81" s="462"/>
      <c r="S81" s="462"/>
      <c r="T81" s="508"/>
    </row>
    <row r="82" spans="1:20" ht="13.5" thickBot="1">
      <c r="A82" s="421"/>
      <c r="B82" s="428"/>
      <c r="C82" s="434"/>
      <c r="D82" s="428"/>
      <c r="E82" s="434"/>
      <c r="F82" s="511"/>
      <c r="G82" s="511"/>
      <c r="H82" s="434"/>
      <c r="I82" s="434"/>
      <c r="J82" s="434"/>
      <c r="K82" s="434"/>
      <c r="L82" s="434"/>
      <c r="M82" s="434"/>
      <c r="N82" s="434"/>
      <c r="O82" s="434"/>
      <c r="P82" s="512"/>
      <c r="Q82" s="434"/>
      <c r="R82" s="434"/>
      <c r="S82" s="434"/>
      <c r="T82" s="513"/>
    </row>
    <row r="86" spans="1:20">
      <c r="G86" s="26"/>
    </row>
    <row r="88" spans="1:20">
      <c r="G88" s="26"/>
    </row>
    <row r="91" spans="1:20">
      <c r="G91" s="2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zoomScale="80" zoomScaleNormal="80" zoomScaleSheetLayoutView="80" workbookViewId="0">
      <pane xSplit="2" ySplit="7" topLeftCell="C14" activePane="bottomRight" state="frozen"/>
      <selection activeCell="J228" sqref="J228"/>
      <selection pane="topRight" activeCell="J228" sqref="J228"/>
      <selection pane="bottomLeft" activeCell="J228" sqref="J228"/>
      <selection pane="bottomRight" activeCell="J228" sqref="J228"/>
    </sheetView>
  </sheetViews>
  <sheetFormatPr baseColWidth="10" defaultRowHeight="14.25"/>
  <cols>
    <col min="1" max="1" width="16" style="383" customWidth="1"/>
    <col min="2" max="2" width="35.25" style="1" customWidth="1"/>
    <col min="3" max="3" width="18.125" style="1" bestFit="1" customWidth="1"/>
    <col min="4" max="4" width="13.5" style="1" bestFit="1" customWidth="1"/>
    <col min="5" max="6" width="14.75" style="1" bestFit="1" customWidth="1"/>
    <col min="7" max="7" width="15.125" style="1" bestFit="1" customWidth="1"/>
    <col min="8" max="8" width="17.875" style="1" bestFit="1" customWidth="1"/>
    <col min="9" max="9" width="17.125" style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5.75" style="384" customWidth="1"/>
    <col min="14" max="14" width="16.875" style="1" bestFit="1" customWidth="1"/>
    <col min="15" max="15" width="8.5" style="1" customWidth="1"/>
    <col min="16" max="16" width="16.5" style="1" hidden="1" customWidth="1"/>
    <col min="17" max="17" width="20.625" style="1" hidden="1" customWidth="1"/>
    <col min="18" max="18" width="14.875" style="1" hidden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>
      <c r="A1" s="679" t="s">
        <v>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17"/>
      <c r="Q1" s="617"/>
      <c r="R1" s="617"/>
    </row>
    <row r="2" spans="1:18" ht="18">
      <c r="A2" s="680" t="s">
        <v>156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18"/>
      <c r="Q2" s="618"/>
      <c r="R2" s="618"/>
    </row>
    <row r="3" spans="1:18" ht="18">
      <c r="A3" s="680" t="s">
        <v>274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18"/>
      <c r="Q3" s="618"/>
      <c r="R3" s="618"/>
    </row>
    <row r="4" spans="1:18" ht="18.75" thickBot="1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2"/>
      <c r="N4" s="300"/>
      <c r="O4" s="303"/>
    </row>
    <row r="5" spans="1:18" s="537" customFormat="1" ht="23.25" customHeight="1">
      <c r="A5" s="569" t="s">
        <v>157</v>
      </c>
      <c r="B5" s="570" t="s">
        <v>1</v>
      </c>
      <c r="C5" s="615" t="s">
        <v>254</v>
      </c>
      <c r="D5" s="533" t="s">
        <v>159</v>
      </c>
      <c r="E5" s="616" t="s">
        <v>160</v>
      </c>
      <c r="F5" s="616" t="s">
        <v>2</v>
      </c>
      <c r="G5" s="615" t="s">
        <v>161</v>
      </c>
      <c r="H5" s="533" t="s">
        <v>162</v>
      </c>
      <c r="I5" s="616" t="s">
        <v>207</v>
      </c>
      <c r="J5" s="615" t="s">
        <v>164</v>
      </c>
      <c r="K5" s="681" t="s">
        <v>165</v>
      </c>
      <c r="L5" s="535" t="s">
        <v>162</v>
      </c>
      <c r="M5" s="535"/>
      <c r="N5" s="615" t="s">
        <v>166</v>
      </c>
      <c r="O5" s="536" t="s">
        <v>165</v>
      </c>
      <c r="P5" s="533" t="s">
        <v>226</v>
      </c>
      <c r="Q5" s="533" t="s">
        <v>227</v>
      </c>
      <c r="R5" s="533" t="s">
        <v>228</v>
      </c>
    </row>
    <row r="6" spans="1:18" s="537" customFormat="1" ht="23.25" customHeight="1" thickBot="1">
      <c r="A6" s="571"/>
      <c r="B6" s="572"/>
      <c r="C6" s="573" t="s">
        <v>3</v>
      </c>
      <c r="D6" s="574"/>
      <c r="E6" s="575"/>
      <c r="F6" s="575"/>
      <c r="G6" s="573" t="s">
        <v>2</v>
      </c>
      <c r="H6" s="574" t="s">
        <v>158</v>
      </c>
      <c r="I6" s="576" t="s">
        <v>167</v>
      </c>
      <c r="J6" s="573" t="s">
        <v>168</v>
      </c>
      <c r="K6" s="682"/>
      <c r="L6" s="577" t="s">
        <v>255</v>
      </c>
      <c r="M6" s="577" t="s">
        <v>231</v>
      </c>
      <c r="N6" s="573" t="s">
        <v>170</v>
      </c>
      <c r="O6" s="578"/>
      <c r="P6" s="574" t="s">
        <v>253</v>
      </c>
      <c r="Q6" s="574" t="s">
        <v>229</v>
      </c>
      <c r="R6" s="574" t="s">
        <v>230</v>
      </c>
    </row>
    <row r="7" spans="1:18" ht="1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4"/>
      <c r="N7" s="325"/>
      <c r="O7" s="326"/>
      <c r="P7" s="566"/>
      <c r="Q7" s="566"/>
      <c r="R7" s="566"/>
    </row>
    <row r="8" spans="1:18" s="333" customFormat="1" ht="27.75" customHeight="1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167244166</v>
      </c>
      <c r="F8" s="329">
        <f t="shared" si="0"/>
        <v>0</v>
      </c>
      <c r="G8" s="329">
        <f t="shared" si="0"/>
        <v>59000000</v>
      </c>
      <c r="H8" s="329">
        <f t="shared" si="0"/>
        <v>758621490</v>
      </c>
      <c r="I8" s="329">
        <f t="shared" si="0"/>
        <v>244558830</v>
      </c>
      <c r="J8" s="329">
        <f>SUM(J9:J17)</f>
        <v>59865259.446527779</v>
      </c>
      <c r="K8" s="330">
        <f t="shared" ref="K8:K19" si="1">L8/H8</f>
        <v>0.40128587636836888</v>
      </c>
      <c r="L8" s="331">
        <f>SUM(L9:L17)</f>
        <v>304424089.44652778</v>
      </c>
      <c r="M8" s="331">
        <f>SUM(M9:M17)</f>
        <v>304424089.44652778</v>
      </c>
      <c r="N8" s="329">
        <f>SUM(N9:N17)</f>
        <v>454197400.55347222</v>
      </c>
      <c r="O8" s="332">
        <f>N8/H8</f>
        <v>0.59871412363163112</v>
      </c>
      <c r="P8" s="329">
        <f>SUM(P9:P17)</f>
        <v>304424089.44652778</v>
      </c>
      <c r="Q8" s="329">
        <f>SUM(Q9:Q17)</f>
        <v>0</v>
      </c>
      <c r="R8" s="329">
        <f>SUM(R9:R17)</f>
        <v>0</v>
      </c>
    </row>
    <row r="9" spans="1:18" ht="1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PRESUPUESTO'!H7+'LIBRO DE PRESUPUESTO'!H12+'LIBRO DE PRESUPUESTO'!H15</f>
        <v>59000000</v>
      </c>
      <c r="H9" s="341">
        <f>C9-D9+E9+F9-G9</f>
        <v>429231324</v>
      </c>
      <c r="I9" s="342">
        <f>JUNIO!I9+JUNIO!J9</f>
        <v>226346238</v>
      </c>
      <c r="J9" s="4">
        <f>'LIBRO DE PRESUPUESTO'!J16+'LIBRO DE PRESUPUESTO'!J17+'LIBRO DE PRESUPUESTO'!J18</f>
        <v>41418011</v>
      </c>
      <c r="K9" s="343">
        <f t="shared" si="1"/>
        <v>0.62382271290154023</v>
      </c>
      <c r="L9" s="344">
        <f t="shared" ref="L9:L15" si="2">J9+I9</f>
        <v>267764249</v>
      </c>
      <c r="M9" s="522">
        <f>I9+J9</f>
        <v>267764249</v>
      </c>
      <c r="N9" s="345">
        <f t="shared" ref="N9:N61" si="3">H9-L9</f>
        <v>161467075</v>
      </c>
      <c r="O9" s="346">
        <f>N9/H9</f>
        <v>0.37617728709845977</v>
      </c>
      <c r="P9" s="567">
        <f>M9</f>
        <v>267764249</v>
      </c>
      <c r="Q9" s="567">
        <f>M9-P9</f>
        <v>0</v>
      </c>
      <c r="R9" s="567">
        <f>L9-M9</f>
        <v>0</v>
      </c>
    </row>
    <row r="10" spans="1:18" ht="15">
      <c r="A10" s="334">
        <v>202110101</v>
      </c>
      <c r="B10" s="335" t="s">
        <v>217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f>JUNIO!I10+JUNIO!J10</f>
        <v>0</v>
      </c>
      <c r="J10" s="4"/>
      <c r="K10" s="343">
        <f t="shared" si="1"/>
        <v>0</v>
      </c>
      <c r="L10" s="344">
        <f t="shared" si="2"/>
        <v>0</v>
      </c>
      <c r="M10" s="522">
        <f t="shared" ref="M10:M17" si="4">I10+J10</f>
        <v>0</v>
      </c>
      <c r="N10" s="345">
        <f t="shared" si="3"/>
        <v>167244166</v>
      </c>
      <c r="O10" s="346">
        <f>N10/H10</f>
        <v>1</v>
      </c>
      <c r="P10" s="567">
        <f>L10</f>
        <v>0</v>
      </c>
      <c r="Q10" s="567">
        <f t="shared" ref="Q10:Q17" si="5">M10-P10</f>
        <v>0</v>
      </c>
      <c r="R10" s="567">
        <f t="shared" ref="R10:R17" si="6">L10-M10</f>
        <v>0</v>
      </c>
    </row>
    <row r="11" spans="1:18" ht="15">
      <c r="A11" s="334">
        <v>202110103</v>
      </c>
      <c r="B11" s="335" t="s">
        <v>11</v>
      </c>
      <c r="C11" s="336">
        <f>'PAC INICIAL 2020'!C25</f>
        <v>1246000</v>
      </c>
      <c r="D11" s="337"/>
      <c r="E11" s="338"/>
      <c r="F11" s="339"/>
      <c r="G11" s="347"/>
      <c r="H11" s="341">
        <f t="shared" ref="H11:H21" si="7">C11-D11+E11+F11-G11</f>
        <v>1246000</v>
      </c>
      <c r="I11" s="342">
        <f>JUNIO!I11+JUNIO!J11</f>
        <v>617124</v>
      </c>
      <c r="J11" s="342">
        <f>'LIBRO DE PRESUPUESTO'!J41</f>
        <v>102854</v>
      </c>
      <c r="K11" s="343">
        <f t="shared" si="1"/>
        <v>0.57783146067415725</v>
      </c>
      <c r="L11" s="344">
        <f t="shared" si="2"/>
        <v>719978</v>
      </c>
      <c r="M11" s="522">
        <f t="shared" si="4"/>
        <v>719978</v>
      </c>
      <c r="N11" s="345">
        <f t="shared" si="3"/>
        <v>526022</v>
      </c>
      <c r="O11" s="346">
        <f t="shared" ref="O11:O19" si="8">N11/H11</f>
        <v>0.4221685393258427</v>
      </c>
      <c r="P11" s="567">
        <f t="shared" ref="P11:P26" si="9">L11</f>
        <v>719978</v>
      </c>
      <c r="Q11" s="567">
        <f t="shared" si="5"/>
        <v>0</v>
      </c>
      <c r="R11" s="567">
        <f t="shared" si="6"/>
        <v>0</v>
      </c>
    </row>
    <row r="12" spans="1:18" ht="15.75" customHeight="1">
      <c r="A12" s="334">
        <v>202110104</v>
      </c>
      <c r="B12" s="335" t="s">
        <v>13</v>
      </c>
      <c r="C12" s="336">
        <f>'PAC INICIAL 2020'!C26</f>
        <v>900000</v>
      </c>
      <c r="D12" s="337"/>
      <c r="E12" s="338"/>
      <c r="F12" s="339"/>
      <c r="G12" s="347"/>
      <c r="H12" s="341">
        <f t="shared" si="7"/>
        <v>900000</v>
      </c>
      <c r="I12" s="342">
        <f>JUNIO!I12+JUNIO!J12</f>
        <v>396588</v>
      </c>
      <c r="J12" s="342">
        <f>'LIBRO DE PRESUPUESTO'!J58</f>
        <v>66098</v>
      </c>
      <c r="K12" s="343">
        <f t="shared" si="1"/>
        <v>0.51409555555555553</v>
      </c>
      <c r="L12" s="344">
        <f t="shared" si="2"/>
        <v>462686</v>
      </c>
      <c r="M12" s="522">
        <f t="shared" si="4"/>
        <v>462686</v>
      </c>
      <c r="N12" s="345">
        <f t="shared" si="3"/>
        <v>437314</v>
      </c>
      <c r="O12" s="346">
        <f t="shared" si="8"/>
        <v>0.48590444444444447</v>
      </c>
      <c r="P12" s="567">
        <f t="shared" si="9"/>
        <v>462686</v>
      </c>
      <c r="Q12" s="567">
        <f t="shared" si="5"/>
        <v>0</v>
      </c>
      <c r="R12" s="567">
        <f t="shared" si="6"/>
        <v>0</v>
      </c>
    </row>
    <row r="13" spans="1:18" ht="15">
      <c r="A13" s="334">
        <v>202110105</v>
      </c>
      <c r="B13" s="335" t="s">
        <v>15</v>
      </c>
      <c r="C13" s="336">
        <f>'PAC INICIAL 2020'!C27</f>
        <v>17000000</v>
      </c>
      <c r="D13" s="337"/>
      <c r="E13" s="338"/>
      <c r="F13" s="339"/>
      <c r="G13" s="347"/>
      <c r="H13" s="341">
        <f t="shared" si="7"/>
        <v>17000000</v>
      </c>
      <c r="I13" s="342">
        <f>JUNIO!I13+JUNIO!J13</f>
        <v>2229039</v>
      </c>
      <c r="J13" s="4">
        <f>'LIBRO DE PRESUPUESTO'!J73+'LIBRO DE PRESUPUESTO'!J74+'LIBRO DE PRESUPUESTO'!J75+'LIBRO DE PRESUPUESTO'!J76+'LIBRO DE PRESUPUESTO'!J77</f>
        <v>3610046</v>
      </c>
      <c r="K13" s="343">
        <f t="shared" si="1"/>
        <v>0.34347558823529412</v>
      </c>
      <c r="L13" s="344">
        <f t="shared" si="2"/>
        <v>5839085</v>
      </c>
      <c r="M13" s="522">
        <f t="shared" si="4"/>
        <v>5839085</v>
      </c>
      <c r="N13" s="345">
        <f t="shared" si="3"/>
        <v>11160915</v>
      </c>
      <c r="O13" s="346">
        <f t="shared" si="8"/>
        <v>0.65652441176470588</v>
      </c>
      <c r="P13" s="567">
        <f t="shared" si="9"/>
        <v>5839085</v>
      </c>
      <c r="Q13" s="567">
        <f t="shared" si="5"/>
        <v>0</v>
      </c>
      <c r="R13" s="567">
        <f t="shared" si="6"/>
        <v>0</v>
      </c>
    </row>
    <row r="14" spans="1:18" ht="15">
      <c r="A14" s="334">
        <v>202110106</v>
      </c>
      <c r="B14" s="335" t="s">
        <v>17</v>
      </c>
      <c r="C14" s="336">
        <f>'PAC INICIAL 2020'!C28</f>
        <v>24000000</v>
      </c>
      <c r="D14" s="337"/>
      <c r="E14" s="338"/>
      <c r="F14" s="339"/>
      <c r="G14" s="347"/>
      <c r="H14" s="341">
        <f t="shared" si="7"/>
        <v>24000000</v>
      </c>
      <c r="I14" s="342">
        <f>JUNIO!I14+JUNIO!J14</f>
        <v>5147869</v>
      </c>
      <c r="J14" s="4">
        <f>SUM('LIBRO DE PRESUPUESTO'!J89:J99)</f>
        <v>14238764.446527777</v>
      </c>
      <c r="K14" s="343">
        <f t="shared" si="1"/>
        <v>0.80777639360532416</v>
      </c>
      <c r="L14" s="344">
        <f t="shared" si="2"/>
        <v>19386633.446527779</v>
      </c>
      <c r="M14" s="522">
        <f t="shared" si="4"/>
        <v>19386633.446527779</v>
      </c>
      <c r="N14" s="345">
        <f t="shared" si="3"/>
        <v>4613366.5534722209</v>
      </c>
      <c r="O14" s="346">
        <f t="shared" si="8"/>
        <v>0.19222360639467587</v>
      </c>
      <c r="P14" s="567">
        <f t="shared" si="9"/>
        <v>19386633.446527779</v>
      </c>
      <c r="Q14" s="567">
        <f t="shared" si="5"/>
        <v>0</v>
      </c>
      <c r="R14" s="567">
        <f t="shared" si="6"/>
        <v>0</v>
      </c>
    </row>
    <row r="15" spans="1:18" ht="15">
      <c r="A15" s="334">
        <v>202110107</v>
      </c>
      <c r="B15" s="335" t="s">
        <v>19</v>
      </c>
      <c r="C15" s="336">
        <f>'PAC INICIAL 2020'!C29</f>
        <v>28000000</v>
      </c>
      <c r="D15" s="337"/>
      <c r="E15" s="338"/>
      <c r="F15" s="339"/>
      <c r="G15" s="347"/>
      <c r="H15" s="341">
        <f t="shared" si="7"/>
        <v>28000000</v>
      </c>
      <c r="I15" s="342">
        <f>JUNIO!I15+JUNIO!J15</f>
        <v>3410525</v>
      </c>
      <c r="J15" s="4">
        <f>'LIBRO DE PRESUPUESTO'!J112+'LIBRO DE PRESUPUESTO'!J113</f>
        <v>147659</v>
      </c>
      <c r="K15" s="343">
        <f t="shared" si="1"/>
        <v>0.127078</v>
      </c>
      <c r="L15" s="344">
        <f t="shared" si="2"/>
        <v>3558184</v>
      </c>
      <c r="M15" s="522">
        <f t="shared" si="4"/>
        <v>3558184</v>
      </c>
      <c r="N15" s="345">
        <f t="shared" si="3"/>
        <v>24441816</v>
      </c>
      <c r="O15" s="346">
        <f t="shared" si="8"/>
        <v>0.87292199999999998</v>
      </c>
      <c r="P15" s="567">
        <f t="shared" si="9"/>
        <v>3558184</v>
      </c>
      <c r="Q15" s="567">
        <f t="shared" si="5"/>
        <v>0</v>
      </c>
      <c r="R15" s="567">
        <f t="shared" si="6"/>
        <v>0</v>
      </c>
    </row>
    <row r="16" spans="1:18" ht="15">
      <c r="A16" s="334">
        <v>202110109</v>
      </c>
      <c r="B16" s="335" t="s">
        <v>20</v>
      </c>
      <c r="C16" s="336">
        <f>'PAC INICIAL 2020'!C30</f>
        <v>36000000</v>
      </c>
      <c r="D16" s="337"/>
      <c r="E16" s="338"/>
      <c r="F16" s="339"/>
      <c r="G16" s="347"/>
      <c r="H16" s="341">
        <f t="shared" si="7"/>
        <v>36000000</v>
      </c>
      <c r="I16" s="342">
        <f>JUNIO!I16+JUNIO!J16</f>
        <v>5079406</v>
      </c>
      <c r="J16" s="4">
        <f>'LIBRO DE PRESUPUESTO'!J136+'LIBRO DE PRESUPUESTO'!J137+'LIBRO DE PRESUPUESTO'!J138+'LIBRO DE PRESUPUESTO'!J139</f>
        <v>208565</v>
      </c>
      <c r="K16" s="343">
        <f t="shared" si="1"/>
        <v>0.14688808333333334</v>
      </c>
      <c r="L16" s="344">
        <f>J16+I16</f>
        <v>5287971</v>
      </c>
      <c r="M16" s="522">
        <f t="shared" si="4"/>
        <v>5287971</v>
      </c>
      <c r="N16" s="345">
        <f t="shared" si="3"/>
        <v>30712029</v>
      </c>
      <c r="O16" s="346">
        <f t="shared" si="8"/>
        <v>0.85311191666666664</v>
      </c>
      <c r="P16" s="567">
        <f t="shared" si="9"/>
        <v>5287971</v>
      </c>
      <c r="Q16" s="567">
        <f t="shared" si="5"/>
        <v>0</v>
      </c>
      <c r="R16" s="567">
        <f t="shared" si="6"/>
        <v>0</v>
      </c>
    </row>
    <row r="17" spans="1:18" ht="15">
      <c r="A17" s="334">
        <v>202110108</v>
      </c>
      <c r="B17" s="335" t="s">
        <v>21</v>
      </c>
      <c r="C17" s="336">
        <f>'PAC INICIAL 2020'!C31</f>
        <v>55000000</v>
      </c>
      <c r="D17" s="337"/>
      <c r="E17" s="338"/>
      <c r="F17" s="339"/>
      <c r="G17" s="347"/>
      <c r="H17" s="341">
        <f t="shared" si="7"/>
        <v>55000000</v>
      </c>
      <c r="I17" s="342">
        <f>JUNIO!I17+JUNIO!J17</f>
        <v>1332041</v>
      </c>
      <c r="J17" s="4">
        <f>'LIBRO DE PRESUPUESTO'!J153+'LIBRO DE PRESUPUESTO'!J154</f>
        <v>73262</v>
      </c>
      <c r="K17" s="343">
        <f t="shared" si="1"/>
        <v>2.5550963636363635E-2</v>
      </c>
      <c r="L17" s="344">
        <f t="shared" ref="L17:L59" si="10">J17+I17</f>
        <v>1405303</v>
      </c>
      <c r="M17" s="522">
        <f t="shared" si="4"/>
        <v>1405303</v>
      </c>
      <c r="N17" s="345">
        <f t="shared" si="3"/>
        <v>53594697</v>
      </c>
      <c r="O17" s="346">
        <f t="shared" si="8"/>
        <v>0.97444903636363633</v>
      </c>
      <c r="P17" s="567">
        <f t="shared" si="9"/>
        <v>1405303</v>
      </c>
      <c r="Q17" s="567">
        <f t="shared" si="5"/>
        <v>0</v>
      </c>
      <c r="R17" s="567">
        <f t="shared" si="6"/>
        <v>0</v>
      </c>
    </row>
    <row r="18" spans="1:18" s="349" customFormat="1" ht="27.75" customHeight="1">
      <c r="A18" s="327">
        <v>2021102</v>
      </c>
      <c r="B18" s="328" t="s">
        <v>23</v>
      </c>
      <c r="C18" s="329">
        <f t="shared" ref="C18:J18" si="11">SUM(C19:C21)</f>
        <v>20000000</v>
      </c>
      <c r="D18" s="329">
        <f t="shared" si="11"/>
        <v>0</v>
      </c>
      <c r="E18" s="329">
        <f t="shared" si="11"/>
        <v>0</v>
      </c>
      <c r="F18" s="329">
        <f t="shared" si="11"/>
        <v>91500000</v>
      </c>
      <c r="G18" s="329">
        <f t="shared" si="11"/>
        <v>0</v>
      </c>
      <c r="H18" s="329">
        <f t="shared" si="11"/>
        <v>111500000</v>
      </c>
      <c r="I18" s="329">
        <f t="shared" si="11"/>
        <v>68000000</v>
      </c>
      <c r="J18" s="329">
        <f t="shared" si="11"/>
        <v>22500000</v>
      </c>
      <c r="K18" s="330">
        <f t="shared" si="1"/>
        <v>0.81165919282511212</v>
      </c>
      <c r="L18" s="348">
        <f>SUM(L19:L21)</f>
        <v>90500000</v>
      </c>
      <c r="M18" s="348">
        <f>SUM(M19:M21)</f>
        <v>90500000</v>
      </c>
      <c r="N18" s="348">
        <f>SUM(N19:N21)</f>
        <v>21000000</v>
      </c>
      <c r="O18" s="332">
        <f t="shared" si="8"/>
        <v>0.18834080717488788</v>
      </c>
      <c r="P18" s="329">
        <f>SUM(P19:P21)</f>
        <v>48000000</v>
      </c>
      <c r="Q18" s="329">
        <f>SUM(Q19:Q21)</f>
        <v>42500000</v>
      </c>
      <c r="R18" s="329">
        <f>SUM(R19:R21)</f>
        <v>0</v>
      </c>
    </row>
    <row r="19" spans="1:18" ht="15">
      <c r="A19" s="334">
        <v>202110201</v>
      </c>
      <c r="B19" s="350" t="s">
        <v>25</v>
      </c>
      <c r="C19" s="336">
        <f>'PAC INICIAL 2020'!C33</f>
        <v>20000000</v>
      </c>
      <c r="D19" s="342"/>
      <c r="E19" s="338"/>
      <c r="F19" s="339">
        <f>'LIBRO DE PRESUPUESTO'!G161+'LIBRO DE PRESUPUESTO'!G167</f>
        <v>67000000</v>
      </c>
      <c r="G19" s="347"/>
      <c r="H19" s="341">
        <f t="shared" si="7"/>
        <v>87000000</v>
      </c>
      <c r="I19" s="342">
        <f>JUNIO!I19+JUNIO!J19</f>
        <v>56000000</v>
      </c>
      <c r="J19" s="342">
        <f>'LIBRO DE PRESUPUESTO'!J168</f>
        <v>10000000</v>
      </c>
      <c r="K19" s="343">
        <f t="shared" si="1"/>
        <v>0.75862068965517238</v>
      </c>
      <c r="L19" s="344">
        <f t="shared" si="10"/>
        <v>66000000</v>
      </c>
      <c r="M19" s="522">
        <f>I19+J19</f>
        <v>66000000</v>
      </c>
      <c r="N19" s="345">
        <f t="shared" si="3"/>
        <v>21000000</v>
      </c>
      <c r="O19" s="346">
        <f t="shared" si="8"/>
        <v>0.2413793103448276</v>
      </c>
      <c r="P19" s="567">
        <f>L19-8000000-14000000-8000000</f>
        <v>36000000</v>
      </c>
      <c r="Q19" s="567">
        <f t="shared" ref="Q19:Q26" si="12">M19-P19</f>
        <v>30000000</v>
      </c>
      <c r="R19" s="567">
        <f t="shared" ref="R19:R59" si="13">L19-M19</f>
        <v>0</v>
      </c>
    </row>
    <row r="20" spans="1:18" ht="1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f>'LIBRO DE PRESUPUESTO'!G176+'LIBRO DE PRESUPUESTO'!G178+'LIBRO DE PRESUPUESTO'!G180</f>
        <v>24500000</v>
      </c>
      <c r="G20" s="347"/>
      <c r="H20" s="341">
        <f t="shared" si="7"/>
        <v>24500000</v>
      </c>
      <c r="I20" s="342">
        <f>JUNIO!I20+JUNIO!J20</f>
        <v>12000000</v>
      </c>
      <c r="J20" s="342">
        <f>'LIBRO DE PRESUPUESTO'!J181</f>
        <v>12500000</v>
      </c>
      <c r="K20" s="343">
        <v>0</v>
      </c>
      <c r="L20" s="344">
        <f t="shared" si="10"/>
        <v>24500000</v>
      </c>
      <c r="M20" s="522">
        <f t="shared" ref="M20:M61" si="14">I20+J20</f>
        <v>24500000</v>
      </c>
      <c r="N20" s="345">
        <f t="shared" si="3"/>
        <v>0</v>
      </c>
      <c r="O20" s="346">
        <v>0</v>
      </c>
      <c r="P20" s="567">
        <f>L20-12500000</f>
        <v>12000000</v>
      </c>
      <c r="Q20" s="567">
        <f t="shared" si="12"/>
        <v>12500000</v>
      </c>
      <c r="R20" s="567">
        <f t="shared" si="13"/>
        <v>0</v>
      </c>
    </row>
    <row r="21" spans="1:18" ht="1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7"/>
        <v>0</v>
      </c>
      <c r="I21" s="342">
        <f>JUNIO!I21+JUNIO!J21</f>
        <v>0</v>
      </c>
      <c r="J21" s="2">
        <v>0</v>
      </c>
      <c r="K21" s="343">
        <v>0</v>
      </c>
      <c r="L21" s="344">
        <f t="shared" si="10"/>
        <v>0</v>
      </c>
      <c r="M21" s="522">
        <f t="shared" si="14"/>
        <v>0</v>
      </c>
      <c r="N21" s="345">
        <f t="shared" si="3"/>
        <v>0</v>
      </c>
      <c r="O21" s="346">
        <v>0</v>
      </c>
      <c r="P21" s="567">
        <f t="shared" si="9"/>
        <v>0</v>
      </c>
      <c r="Q21" s="567">
        <f t="shared" si="12"/>
        <v>0</v>
      </c>
      <c r="R21" s="567">
        <f t="shared" si="13"/>
        <v>0</v>
      </c>
    </row>
    <row r="22" spans="1:18" ht="30">
      <c r="A22" s="327">
        <v>2021103</v>
      </c>
      <c r="B22" s="359" t="s">
        <v>69</v>
      </c>
      <c r="C22" s="360">
        <f>SUM(C23:C26)</f>
        <v>83629741</v>
      </c>
      <c r="D22" s="360">
        <f t="shared" ref="D22:J22" si="15">SUM(D23:D26)</f>
        <v>0</v>
      </c>
      <c r="E22" s="360">
        <f t="shared" si="15"/>
        <v>0</v>
      </c>
      <c r="F22" s="360">
        <f t="shared" si="15"/>
        <v>0</v>
      </c>
      <c r="G22" s="360">
        <f t="shared" si="15"/>
        <v>0</v>
      </c>
      <c r="H22" s="360">
        <f t="shared" si="15"/>
        <v>83629741</v>
      </c>
      <c r="I22" s="360">
        <f t="shared" si="15"/>
        <v>26224846</v>
      </c>
      <c r="J22" s="360">
        <f t="shared" si="15"/>
        <v>4134793</v>
      </c>
      <c r="K22" s="330">
        <f>L22/H22</f>
        <v>0.36302442931157708</v>
      </c>
      <c r="L22" s="583">
        <f>SUM(L23:L26)</f>
        <v>30359639</v>
      </c>
      <c r="M22" s="583">
        <f>SUM(M23:M26)</f>
        <v>30359639</v>
      </c>
      <c r="N22" s="583">
        <f>SUM(N23:N26)</f>
        <v>53270102</v>
      </c>
      <c r="O22" s="332">
        <f t="shared" ref="O22:O28" si="16">N22/H22</f>
        <v>0.63697557068842292</v>
      </c>
      <c r="P22" s="329">
        <f>SUM(P23:P26)</f>
        <v>30359639</v>
      </c>
      <c r="Q22" s="329">
        <f>SUM(Q23:Q26)</f>
        <v>0</v>
      </c>
      <c r="R22" s="329">
        <f>SUM(R23:R26)</f>
        <v>0</v>
      </c>
    </row>
    <row r="23" spans="1:18" ht="15">
      <c r="A23" s="334">
        <v>202110301</v>
      </c>
      <c r="B23" s="351" t="s">
        <v>71</v>
      </c>
      <c r="C23" s="336">
        <f>'PAC INICIAL 2020'!C60</f>
        <v>16000083</v>
      </c>
      <c r="D23" s="337"/>
      <c r="E23" s="338"/>
      <c r="F23" s="339"/>
      <c r="G23" s="347"/>
      <c r="H23" s="341">
        <f>C23-D23+E23+F23-G23</f>
        <v>16000083</v>
      </c>
      <c r="I23" s="342">
        <f>JUNIO!I23+JUNIO!J23</f>
        <v>1365627</v>
      </c>
      <c r="J23" s="4">
        <f>'LIBRO DE PRESUPUESTO'!J564+'LIBRO DE PRESUPUESTO'!J565</f>
        <v>75110</v>
      </c>
      <c r="K23" s="343">
        <f t="shared" ref="K23:K36" si="17">L23/H23</f>
        <v>9.0045595388473926E-2</v>
      </c>
      <c r="L23" s="344">
        <f>J23+I23</f>
        <v>1440737</v>
      </c>
      <c r="M23" s="522">
        <f t="shared" si="14"/>
        <v>1440737</v>
      </c>
      <c r="N23" s="345">
        <f>H23-L23</f>
        <v>14559346</v>
      </c>
      <c r="O23" s="346">
        <f t="shared" si="16"/>
        <v>0.9099544046115261</v>
      </c>
      <c r="P23" s="567">
        <f t="shared" si="9"/>
        <v>1440737</v>
      </c>
      <c r="Q23" s="567">
        <f t="shared" si="12"/>
        <v>0</v>
      </c>
      <c r="R23" s="567">
        <f t="shared" si="13"/>
        <v>0</v>
      </c>
    </row>
    <row r="24" spans="1:18" ht="15">
      <c r="A24" s="334">
        <v>202110302</v>
      </c>
      <c r="B24" s="351" t="s">
        <v>73</v>
      </c>
      <c r="C24" s="336">
        <f>'PAC INICIAL 2020'!C61</f>
        <v>46429658</v>
      </c>
      <c r="D24" s="337"/>
      <c r="E24" s="338"/>
      <c r="F24" s="339"/>
      <c r="G24" s="347"/>
      <c r="H24" s="341">
        <f>C24-D24+E24+F24-G24</f>
        <v>46429658</v>
      </c>
      <c r="I24" s="342">
        <f>JUNIO!I24+JUNIO!J24</f>
        <v>19370099</v>
      </c>
      <c r="J24" s="4">
        <f>'LIBRO DE PRESUPUESTO'!J578</f>
        <v>3359765</v>
      </c>
      <c r="K24" s="343">
        <f t="shared" si="17"/>
        <v>0.48955484444877884</v>
      </c>
      <c r="L24" s="344">
        <f>J24+I24</f>
        <v>22729864</v>
      </c>
      <c r="M24" s="522">
        <f t="shared" si="14"/>
        <v>22729864</v>
      </c>
      <c r="N24" s="345">
        <f>H24-L24</f>
        <v>23699794</v>
      </c>
      <c r="O24" s="346">
        <f t="shared" si="16"/>
        <v>0.51044515555122116</v>
      </c>
      <c r="P24" s="567">
        <f>L24</f>
        <v>22729864</v>
      </c>
      <c r="Q24" s="567">
        <f t="shared" si="12"/>
        <v>0</v>
      </c>
      <c r="R24" s="567">
        <f t="shared" si="13"/>
        <v>0</v>
      </c>
    </row>
    <row r="25" spans="1:18" ht="15">
      <c r="A25" s="334">
        <v>202110304</v>
      </c>
      <c r="B25" s="351" t="s">
        <v>74</v>
      </c>
      <c r="C25" s="336">
        <f>'PAC INICIAL 2020'!C62</f>
        <v>14000000</v>
      </c>
      <c r="D25" s="337"/>
      <c r="E25" s="338"/>
      <c r="F25" s="339"/>
      <c r="G25" s="347"/>
      <c r="H25" s="341">
        <f>C25-D25+E25+F25-G25</f>
        <v>14000000</v>
      </c>
      <c r="I25" s="342">
        <f>JUNIO!I25+JUNIO!J25</f>
        <v>5325245</v>
      </c>
      <c r="J25" s="4">
        <f>'LIBRO DE PRESUPUESTO'!J593</f>
        <v>690904</v>
      </c>
      <c r="K25" s="343">
        <f t="shared" si="17"/>
        <v>0.42972492857142858</v>
      </c>
      <c r="L25" s="344">
        <f>J25+I25</f>
        <v>6016149</v>
      </c>
      <c r="M25" s="522">
        <f t="shared" si="14"/>
        <v>6016149</v>
      </c>
      <c r="N25" s="345">
        <f>H25-L25</f>
        <v>7983851</v>
      </c>
      <c r="O25" s="346">
        <f t="shared" si="16"/>
        <v>0.57027507142857148</v>
      </c>
      <c r="P25" s="567">
        <f>L25</f>
        <v>6016149</v>
      </c>
      <c r="Q25" s="567">
        <f t="shared" si="12"/>
        <v>0</v>
      </c>
      <c r="R25" s="567">
        <f t="shared" si="13"/>
        <v>0</v>
      </c>
    </row>
    <row r="26" spans="1:18" ht="15">
      <c r="A26" s="334">
        <v>202110305</v>
      </c>
      <c r="B26" s="351" t="s">
        <v>75</v>
      </c>
      <c r="C26" s="336">
        <f>'PAC INICIAL 2020'!C63</f>
        <v>7200000</v>
      </c>
      <c r="D26" s="362"/>
      <c r="E26" s="338"/>
      <c r="F26" s="339"/>
      <c r="G26" s="363"/>
      <c r="H26" s="341">
        <f>C26-D26+E26+F26-G26</f>
        <v>7200000</v>
      </c>
      <c r="I26" s="342">
        <f>JUNIO!I26+JUNIO!J26</f>
        <v>163875</v>
      </c>
      <c r="J26" s="341">
        <f>'LIBRO DE PRESUPUESTO'!J606+'LIBRO DE PRESUPUESTO'!J607</f>
        <v>9014</v>
      </c>
      <c r="K26" s="343">
        <f t="shared" si="17"/>
        <v>2.4012361111111113E-2</v>
      </c>
      <c r="L26" s="344">
        <f>J26+I26</f>
        <v>172889</v>
      </c>
      <c r="M26" s="522">
        <f t="shared" si="14"/>
        <v>172889</v>
      </c>
      <c r="N26" s="345">
        <f>H26-L26</f>
        <v>7027111</v>
      </c>
      <c r="O26" s="346">
        <f t="shared" si="16"/>
        <v>0.97598763888888884</v>
      </c>
      <c r="P26" s="567">
        <f t="shared" si="9"/>
        <v>172889</v>
      </c>
      <c r="Q26" s="567">
        <f t="shared" si="12"/>
        <v>0</v>
      </c>
      <c r="R26" s="567">
        <f t="shared" si="13"/>
        <v>0</v>
      </c>
    </row>
    <row r="27" spans="1:18" ht="15.75">
      <c r="A27" s="327">
        <v>2021104</v>
      </c>
      <c r="B27" s="364" t="s">
        <v>76</v>
      </c>
      <c r="C27" s="360">
        <f t="shared" ref="C27:J27" si="18">SUM(C28:C37)</f>
        <v>177100000</v>
      </c>
      <c r="D27" s="360">
        <f t="shared" si="18"/>
        <v>0</v>
      </c>
      <c r="E27" s="360">
        <f t="shared" si="18"/>
        <v>0</v>
      </c>
      <c r="F27" s="360">
        <f t="shared" si="18"/>
        <v>0</v>
      </c>
      <c r="G27" s="360">
        <f t="shared" si="18"/>
        <v>46000000</v>
      </c>
      <c r="H27" s="360">
        <f t="shared" si="18"/>
        <v>131100000</v>
      </c>
      <c r="I27" s="329">
        <f t="shared" si="18"/>
        <v>43758428</v>
      </c>
      <c r="J27" s="329">
        <f t="shared" si="18"/>
        <v>8093469</v>
      </c>
      <c r="K27" s="330">
        <f>L27/H27</f>
        <v>0.39551408848207475</v>
      </c>
      <c r="L27" s="331">
        <f>SUM(L28:L37)</f>
        <v>51851897</v>
      </c>
      <c r="M27" s="348">
        <f>SUM(M28:M37)</f>
        <v>51851897</v>
      </c>
      <c r="N27" s="348">
        <f>SUM(N28:N37)</f>
        <v>79248103</v>
      </c>
      <c r="O27" s="332">
        <f t="shared" si="16"/>
        <v>0.6044859115179253</v>
      </c>
      <c r="P27" s="329">
        <f>SUM(P28:P37)</f>
        <v>51851897</v>
      </c>
      <c r="Q27" s="329">
        <f>SUM(Q28:Q37)</f>
        <v>0</v>
      </c>
      <c r="R27" s="329">
        <f>SUM(R28:R43)</f>
        <v>0</v>
      </c>
    </row>
    <row r="28" spans="1:18" ht="15">
      <c r="A28" s="365">
        <v>202110401</v>
      </c>
      <c r="B28" s="351" t="s">
        <v>78</v>
      </c>
      <c r="C28" s="336">
        <f>'PAC INICIAL 2020'!C65</f>
        <v>56000000</v>
      </c>
      <c r="D28" s="337"/>
      <c r="E28" s="338"/>
      <c r="F28" s="339"/>
      <c r="G28" s="347">
        <f>'LIBRO DE PRESUPUESTO'!H615</f>
        <v>46000000</v>
      </c>
      <c r="H28" s="341">
        <f t="shared" ref="H28:H37" si="19">C28-D28+E28+F28-G28</f>
        <v>10000000</v>
      </c>
      <c r="I28" s="342">
        <f>JUNIO!I28+JUNIO!J28</f>
        <v>102050</v>
      </c>
      <c r="J28" s="2">
        <v>0</v>
      </c>
      <c r="K28" s="343">
        <f t="shared" si="17"/>
        <v>1.0205000000000001E-2</v>
      </c>
      <c r="L28" s="344">
        <f t="shared" ref="L28:L37" si="20">J28+I28</f>
        <v>102050</v>
      </c>
      <c r="M28" s="522">
        <f t="shared" si="14"/>
        <v>102050</v>
      </c>
      <c r="N28" s="345">
        <f t="shared" ref="N28:N37" si="21">H28-L28</f>
        <v>9897950</v>
      </c>
      <c r="O28" s="346">
        <f t="shared" si="16"/>
        <v>0.98979499999999998</v>
      </c>
      <c r="P28" s="344">
        <f>L28</f>
        <v>102050</v>
      </c>
      <c r="Q28" s="567">
        <f>M28-P28</f>
        <v>0</v>
      </c>
      <c r="R28" s="567">
        <f>L28-M28</f>
        <v>0</v>
      </c>
    </row>
    <row r="29" spans="1:18" ht="15">
      <c r="A29" s="334">
        <v>202110402</v>
      </c>
      <c r="B29" s="351" t="s">
        <v>73</v>
      </c>
      <c r="C29" s="336">
        <f>'PAC INICIAL 2020'!C66</f>
        <v>0</v>
      </c>
      <c r="D29" s="337"/>
      <c r="E29" s="338"/>
      <c r="F29" s="339"/>
      <c r="G29" s="347"/>
      <c r="H29" s="341">
        <f t="shared" si="19"/>
        <v>0</v>
      </c>
      <c r="I29" s="342">
        <f>JUNIO!I29+JUNIO!J29</f>
        <v>0</v>
      </c>
      <c r="J29" s="342">
        <v>0</v>
      </c>
      <c r="K29" s="343">
        <v>0</v>
      </c>
      <c r="L29" s="353">
        <f t="shared" si="20"/>
        <v>0</v>
      </c>
      <c r="M29" s="522">
        <f t="shared" si="14"/>
        <v>0</v>
      </c>
      <c r="N29" s="345">
        <f t="shared" si="21"/>
        <v>0</v>
      </c>
      <c r="O29" s="346">
        <v>0</v>
      </c>
      <c r="P29" s="344">
        <f t="shared" ref="P29:P37" si="22">L29</f>
        <v>0</v>
      </c>
      <c r="Q29" s="567">
        <f t="shared" ref="Q29:Q37" si="23">M29-P29</f>
        <v>0</v>
      </c>
      <c r="R29" s="567">
        <f t="shared" si="13"/>
        <v>0</v>
      </c>
    </row>
    <row r="30" spans="1:18" ht="15">
      <c r="A30" s="334">
        <v>202110403</v>
      </c>
      <c r="B30" s="351" t="s">
        <v>81</v>
      </c>
      <c r="C30" s="336">
        <f>'PAC INICIAL 2020'!C67</f>
        <v>3900000</v>
      </c>
      <c r="D30" s="337"/>
      <c r="E30" s="338"/>
      <c r="F30" s="339"/>
      <c r="G30" s="347"/>
      <c r="H30" s="341">
        <f t="shared" si="19"/>
        <v>3900000</v>
      </c>
      <c r="I30" s="342">
        <f>JUNIO!I30+JUNIO!J30</f>
        <v>1184200</v>
      </c>
      <c r="J30" s="4">
        <f>'LIBRO DE PRESUPUESTO'!J638</f>
        <v>206600</v>
      </c>
      <c r="K30" s="343">
        <f t="shared" si="17"/>
        <v>0.35661538461538461</v>
      </c>
      <c r="L30" s="344">
        <f t="shared" si="20"/>
        <v>1390800</v>
      </c>
      <c r="M30" s="522">
        <f t="shared" si="14"/>
        <v>1390800</v>
      </c>
      <c r="N30" s="345">
        <f t="shared" si="21"/>
        <v>2509200</v>
      </c>
      <c r="O30" s="346">
        <f t="shared" ref="O30:O36" si="24">N30/H30</f>
        <v>0.64338461538461533</v>
      </c>
      <c r="P30" s="344">
        <f t="shared" si="22"/>
        <v>1390800</v>
      </c>
      <c r="Q30" s="567">
        <f t="shared" si="23"/>
        <v>0</v>
      </c>
      <c r="R30" s="567">
        <f t="shared" si="13"/>
        <v>0</v>
      </c>
    </row>
    <row r="31" spans="1:18" ht="15">
      <c r="A31" s="334">
        <v>202110404</v>
      </c>
      <c r="B31" s="351" t="s">
        <v>74</v>
      </c>
      <c r="C31" s="336">
        <f>'PAC INICIAL 2020'!C68</f>
        <v>52000000</v>
      </c>
      <c r="D31" s="337"/>
      <c r="E31" s="338"/>
      <c r="F31" s="339"/>
      <c r="G31" s="347"/>
      <c r="H31" s="341">
        <f t="shared" si="19"/>
        <v>52000000</v>
      </c>
      <c r="I31" s="342">
        <f>JUNIO!I31+JUNIO!J31</f>
        <v>22086678</v>
      </c>
      <c r="J31" s="366">
        <f>'LIBRO DE PRESUPUESTO'!J654</f>
        <v>4011369</v>
      </c>
      <c r="K31" s="343">
        <f t="shared" si="17"/>
        <v>0.50188551923076918</v>
      </c>
      <c r="L31" s="344">
        <f t="shared" si="20"/>
        <v>26098047</v>
      </c>
      <c r="M31" s="522">
        <f t="shared" si="14"/>
        <v>26098047</v>
      </c>
      <c r="N31" s="345">
        <f t="shared" si="21"/>
        <v>25901953</v>
      </c>
      <c r="O31" s="346">
        <f t="shared" si="24"/>
        <v>0.49811448076923076</v>
      </c>
      <c r="P31" s="344">
        <f t="shared" si="22"/>
        <v>26098047</v>
      </c>
      <c r="Q31" s="567">
        <f t="shared" si="23"/>
        <v>0</v>
      </c>
      <c r="R31" s="567">
        <f t="shared" si="13"/>
        <v>0</v>
      </c>
    </row>
    <row r="32" spans="1:18" ht="15">
      <c r="A32" s="334">
        <v>202110405</v>
      </c>
      <c r="B32" s="351" t="s">
        <v>84</v>
      </c>
      <c r="C32" s="336">
        <f>'PAC INICIAL 2020'!C69</f>
        <v>27000000</v>
      </c>
      <c r="D32" s="337"/>
      <c r="E32" s="338"/>
      <c r="F32" s="339"/>
      <c r="G32" s="347"/>
      <c r="H32" s="341">
        <f t="shared" si="19"/>
        <v>27000000</v>
      </c>
      <c r="I32" s="342">
        <f>JUNIO!I32+JUNIO!J32</f>
        <v>9057200</v>
      </c>
      <c r="J32" s="4">
        <f>'LIBRO DE PRESUPUESTO'!J670</f>
        <v>1721900</v>
      </c>
      <c r="K32" s="343">
        <f t="shared" si="17"/>
        <v>0.39922592592592593</v>
      </c>
      <c r="L32" s="344">
        <f t="shared" si="20"/>
        <v>10779100</v>
      </c>
      <c r="M32" s="522">
        <f t="shared" si="14"/>
        <v>10779100</v>
      </c>
      <c r="N32" s="345">
        <f t="shared" si="21"/>
        <v>16220900</v>
      </c>
      <c r="O32" s="346">
        <f t="shared" si="24"/>
        <v>0.60077407407407413</v>
      </c>
      <c r="P32" s="344">
        <f t="shared" si="22"/>
        <v>10779100</v>
      </c>
      <c r="Q32" s="567">
        <f t="shared" si="23"/>
        <v>0</v>
      </c>
      <c r="R32" s="567">
        <f t="shared" si="13"/>
        <v>0</v>
      </c>
    </row>
    <row r="33" spans="1:18" ht="15">
      <c r="A33" s="334">
        <v>202110406</v>
      </c>
      <c r="B33" s="351" t="s">
        <v>86</v>
      </c>
      <c r="C33" s="336">
        <f>'PAC INICIAL 2020'!C70</f>
        <v>23000000</v>
      </c>
      <c r="D33" s="337"/>
      <c r="E33" s="338"/>
      <c r="F33" s="339"/>
      <c r="G33" s="347"/>
      <c r="H33" s="341">
        <f t="shared" si="19"/>
        <v>23000000</v>
      </c>
      <c r="I33" s="342">
        <f>JUNIO!I33+JUNIO!J33</f>
        <v>6792200</v>
      </c>
      <c r="J33" s="4">
        <f>'LIBRO DE PRESUPUESTO'!J686</f>
        <v>1291400</v>
      </c>
      <c r="K33" s="343">
        <f t="shared" si="17"/>
        <v>0.35146086956521738</v>
      </c>
      <c r="L33" s="344">
        <f t="shared" si="20"/>
        <v>8083600</v>
      </c>
      <c r="M33" s="522">
        <f t="shared" si="14"/>
        <v>8083600</v>
      </c>
      <c r="N33" s="345">
        <f t="shared" si="21"/>
        <v>14916400</v>
      </c>
      <c r="O33" s="346">
        <f t="shared" si="24"/>
        <v>0.64853913043478262</v>
      </c>
      <c r="P33" s="344">
        <f t="shared" si="22"/>
        <v>8083600</v>
      </c>
      <c r="Q33" s="567">
        <f t="shared" si="23"/>
        <v>0</v>
      </c>
      <c r="R33" s="567">
        <f t="shared" si="13"/>
        <v>0</v>
      </c>
    </row>
    <row r="34" spans="1:18" ht="15">
      <c r="A34" s="334">
        <v>202110407</v>
      </c>
      <c r="B34" s="351" t="s">
        <v>88</v>
      </c>
      <c r="C34" s="336">
        <f>'PAC INICIAL 2020'!C71</f>
        <v>4000000</v>
      </c>
      <c r="D34" s="337"/>
      <c r="E34" s="338"/>
      <c r="F34" s="339"/>
      <c r="G34" s="347"/>
      <c r="H34" s="341">
        <f t="shared" si="19"/>
        <v>4000000</v>
      </c>
      <c r="I34" s="342">
        <f>JUNIO!I34+JUNIO!J34</f>
        <v>1135100</v>
      </c>
      <c r="J34" s="4">
        <f>'LIBRO DE PRESUPUESTO'!J702</f>
        <v>215700</v>
      </c>
      <c r="K34" s="343">
        <f t="shared" si="17"/>
        <v>0.3377</v>
      </c>
      <c r="L34" s="344">
        <f t="shared" si="20"/>
        <v>1350800</v>
      </c>
      <c r="M34" s="522">
        <f t="shared" si="14"/>
        <v>1350800</v>
      </c>
      <c r="N34" s="345">
        <f t="shared" si="21"/>
        <v>2649200</v>
      </c>
      <c r="O34" s="346">
        <f t="shared" si="24"/>
        <v>0.6623</v>
      </c>
      <c r="P34" s="344">
        <f t="shared" si="22"/>
        <v>1350800</v>
      </c>
      <c r="Q34" s="567">
        <f t="shared" si="23"/>
        <v>0</v>
      </c>
      <c r="R34" s="567">
        <f t="shared" si="13"/>
        <v>0</v>
      </c>
    </row>
    <row r="35" spans="1:18" ht="15">
      <c r="A35" s="334">
        <v>202110408</v>
      </c>
      <c r="B35" s="351" t="s">
        <v>90</v>
      </c>
      <c r="C35" s="336">
        <f>'PAC INICIAL 2020'!C72</f>
        <v>4000000</v>
      </c>
      <c r="D35" s="337"/>
      <c r="E35" s="338"/>
      <c r="F35" s="339"/>
      <c r="G35" s="347"/>
      <c r="H35" s="341">
        <f t="shared" si="19"/>
        <v>4000000</v>
      </c>
      <c r="I35" s="342">
        <f>JUNIO!I35+JUNIO!J35</f>
        <v>1135100</v>
      </c>
      <c r="J35" s="4">
        <f>'LIBRO DE PRESUPUESTO'!J717</f>
        <v>215700</v>
      </c>
      <c r="K35" s="343">
        <f t="shared" si="17"/>
        <v>0.3377</v>
      </c>
      <c r="L35" s="344">
        <f t="shared" si="20"/>
        <v>1350800</v>
      </c>
      <c r="M35" s="522">
        <f t="shared" si="14"/>
        <v>1350800</v>
      </c>
      <c r="N35" s="345">
        <f t="shared" si="21"/>
        <v>2649200</v>
      </c>
      <c r="O35" s="346">
        <f t="shared" si="24"/>
        <v>0.6623</v>
      </c>
      <c r="P35" s="344">
        <f t="shared" si="22"/>
        <v>1350800</v>
      </c>
      <c r="Q35" s="567">
        <f t="shared" si="23"/>
        <v>0</v>
      </c>
      <c r="R35" s="567">
        <f t="shared" si="13"/>
        <v>0</v>
      </c>
    </row>
    <row r="36" spans="1:18" ht="15">
      <c r="A36" s="334">
        <v>202110409</v>
      </c>
      <c r="B36" s="351" t="s">
        <v>92</v>
      </c>
      <c r="C36" s="336">
        <f>'PAC INICIAL 2020'!C73</f>
        <v>7200000</v>
      </c>
      <c r="D36" s="337"/>
      <c r="E36" s="338"/>
      <c r="F36" s="339"/>
      <c r="G36" s="347"/>
      <c r="H36" s="341">
        <f t="shared" si="19"/>
        <v>7200000</v>
      </c>
      <c r="I36" s="342">
        <f>JUNIO!I36+JUNIO!J36</f>
        <v>2265900</v>
      </c>
      <c r="J36" s="4">
        <f>'LIBRO DE PRESUPUESTO'!J737</f>
        <v>430800</v>
      </c>
      <c r="K36" s="343">
        <f t="shared" si="17"/>
        <v>0.37454166666666666</v>
      </c>
      <c r="L36" s="344">
        <f t="shared" si="20"/>
        <v>2696700</v>
      </c>
      <c r="M36" s="522">
        <f t="shared" si="14"/>
        <v>2696700</v>
      </c>
      <c r="N36" s="345">
        <f t="shared" si="21"/>
        <v>4503300</v>
      </c>
      <c r="O36" s="346">
        <f t="shared" si="24"/>
        <v>0.62545833333333334</v>
      </c>
      <c r="P36" s="344">
        <f t="shared" si="22"/>
        <v>2696700</v>
      </c>
      <c r="Q36" s="567">
        <f t="shared" si="23"/>
        <v>0</v>
      </c>
      <c r="R36" s="567">
        <f t="shared" si="13"/>
        <v>0</v>
      </c>
    </row>
    <row r="37" spans="1:18" ht="15">
      <c r="A37" s="334">
        <v>202110410</v>
      </c>
      <c r="B37" s="351" t="s">
        <v>94</v>
      </c>
      <c r="C37" s="336">
        <f>'PAC INICIAL 2020'!C74</f>
        <v>0</v>
      </c>
      <c r="D37" s="342"/>
      <c r="E37" s="338"/>
      <c r="F37" s="339"/>
      <c r="G37" s="347"/>
      <c r="H37" s="341">
        <f t="shared" si="19"/>
        <v>0</v>
      </c>
      <c r="I37" s="342">
        <f>MAYO!I37+MAYO!J37</f>
        <v>0</v>
      </c>
      <c r="J37" s="342">
        <v>0</v>
      </c>
      <c r="K37" s="343">
        <v>0</v>
      </c>
      <c r="L37" s="353">
        <f t="shared" si="20"/>
        <v>0</v>
      </c>
      <c r="M37" s="522">
        <f t="shared" si="14"/>
        <v>0</v>
      </c>
      <c r="N37" s="345">
        <f t="shared" si="21"/>
        <v>0</v>
      </c>
      <c r="O37" s="346">
        <v>0</v>
      </c>
      <c r="P37" s="344">
        <f t="shared" si="22"/>
        <v>0</v>
      </c>
      <c r="Q37" s="567">
        <f t="shared" si="23"/>
        <v>0</v>
      </c>
      <c r="R37" s="567">
        <f t="shared" si="13"/>
        <v>0</v>
      </c>
    </row>
    <row r="38" spans="1:18" s="349" customFormat="1" ht="27.75" customHeight="1">
      <c r="A38" s="327">
        <v>2021201</v>
      </c>
      <c r="B38" s="352" t="s">
        <v>31</v>
      </c>
      <c r="C38" s="329">
        <f t="shared" ref="C38:J38" si="25">SUM(C39:C42)</f>
        <v>21300000</v>
      </c>
      <c r="D38" s="329">
        <f t="shared" si="25"/>
        <v>0</v>
      </c>
      <c r="E38" s="329">
        <f t="shared" si="25"/>
        <v>0</v>
      </c>
      <c r="F38" s="329">
        <f t="shared" si="25"/>
        <v>0</v>
      </c>
      <c r="G38" s="329">
        <f t="shared" si="25"/>
        <v>0</v>
      </c>
      <c r="H38" s="329">
        <f t="shared" si="25"/>
        <v>21300000</v>
      </c>
      <c r="I38" s="329">
        <f t="shared" si="25"/>
        <v>12711400</v>
      </c>
      <c r="J38" s="329">
        <f t="shared" si="25"/>
        <v>884200</v>
      </c>
      <c r="K38" s="330">
        <f>L38/H38</f>
        <v>0.63829107981220656</v>
      </c>
      <c r="L38" s="348">
        <f>SUM(L39:L42)</f>
        <v>13595600</v>
      </c>
      <c r="M38" s="348">
        <f>SUM(M39:M42)</f>
        <v>13595600</v>
      </c>
      <c r="N38" s="329">
        <f>SUM(N39:N42)</f>
        <v>7704400</v>
      </c>
      <c r="O38" s="332">
        <f>N38/H38</f>
        <v>0.36170892018779344</v>
      </c>
      <c r="P38" s="329">
        <f>SUM(P39:P42)</f>
        <v>13595600</v>
      </c>
      <c r="Q38" s="329">
        <f>SUM(Q39:Q42)</f>
        <v>0</v>
      </c>
      <c r="R38" s="329">
        <f t="shared" si="13"/>
        <v>0</v>
      </c>
    </row>
    <row r="39" spans="1:18" ht="15">
      <c r="A39" s="334">
        <v>202120101</v>
      </c>
      <c r="B39" s="351" t="s">
        <v>33</v>
      </c>
      <c r="C39" s="336">
        <f>'PAC INICIAL 2020'!C38</f>
        <v>6000000</v>
      </c>
      <c r="D39" s="342"/>
      <c r="E39" s="338"/>
      <c r="F39" s="339"/>
      <c r="G39" s="347"/>
      <c r="H39" s="341">
        <f>C39-D39+E39+F39-G39</f>
        <v>6000000</v>
      </c>
      <c r="I39" s="342">
        <f>JUNIO!I39+JUNIO!J39</f>
        <v>3600000</v>
      </c>
      <c r="J39" s="2">
        <v>0</v>
      </c>
      <c r="K39" s="343">
        <v>0</v>
      </c>
      <c r="L39" s="344">
        <f t="shared" si="10"/>
        <v>3600000</v>
      </c>
      <c r="M39" s="522">
        <f t="shared" si="14"/>
        <v>3600000</v>
      </c>
      <c r="N39" s="345">
        <f t="shared" si="3"/>
        <v>2400000</v>
      </c>
      <c r="O39" s="346">
        <v>0</v>
      </c>
      <c r="P39" s="344">
        <f>L39</f>
        <v>3600000</v>
      </c>
      <c r="Q39" s="567">
        <f>M39-P39</f>
        <v>0</v>
      </c>
      <c r="R39" s="567">
        <f t="shared" si="13"/>
        <v>0</v>
      </c>
    </row>
    <row r="40" spans="1:18" ht="15">
      <c r="A40" s="334">
        <v>202120102</v>
      </c>
      <c r="B40" s="354" t="s">
        <v>35</v>
      </c>
      <c r="C40" s="336">
        <f>'PAC INICIAL 2020'!C39</f>
        <v>14000000</v>
      </c>
      <c r="D40" s="342"/>
      <c r="E40" s="338"/>
      <c r="F40" s="339"/>
      <c r="G40" s="347"/>
      <c r="H40" s="341">
        <f>C40-D40+E40+F40-G40</f>
        <v>14000000</v>
      </c>
      <c r="I40" s="342">
        <f>JUNIO!I40+JUNIO!J40</f>
        <v>9111400</v>
      </c>
      <c r="J40" s="342">
        <f>'LIBRO DE PRESUPUESTO'!J205</f>
        <v>884200</v>
      </c>
      <c r="K40" s="343">
        <f>L40/H40</f>
        <v>0.71397142857142859</v>
      </c>
      <c r="L40" s="344">
        <f t="shared" si="10"/>
        <v>9995600</v>
      </c>
      <c r="M40" s="522">
        <f t="shared" si="14"/>
        <v>9995600</v>
      </c>
      <c r="N40" s="345">
        <f t="shared" si="3"/>
        <v>4004400</v>
      </c>
      <c r="O40" s="355">
        <f>N40/H40</f>
        <v>0.28602857142857141</v>
      </c>
      <c r="P40" s="344">
        <f>L40</f>
        <v>9995600</v>
      </c>
      <c r="Q40" s="567">
        <f t="shared" ref="Q40:Q61" si="26">M40-P40</f>
        <v>0</v>
      </c>
      <c r="R40" s="567">
        <f t="shared" si="13"/>
        <v>0</v>
      </c>
    </row>
    <row r="41" spans="1:18" ht="15">
      <c r="A41" s="334">
        <v>202120104</v>
      </c>
      <c r="B41" s="351" t="s">
        <v>37</v>
      </c>
      <c r="C41" s="336">
        <f>'PAC INICIAL 2020'!C40</f>
        <v>1300000</v>
      </c>
      <c r="D41" s="342"/>
      <c r="E41" s="338"/>
      <c r="F41" s="339"/>
      <c r="G41" s="356"/>
      <c r="H41" s="341">
        <f>C41-D41+E41+F41-G41</f>
        <v>1300000</v>
      </c>
      <c r="I41" s="342">
        <f>JUNIO!I41+JUNIO!J41</f>
        <v>0</v>
      </c>
      <c r="J41" s="342">
        <v>0</v>
      </c>
      <c r="K41" s="343">
        <f>L41/H41</f>
        <v>0</v>
      </c>
      <c r="L41" s="344">
        <f t="shared" si="10"/>
        <v>0</v>
      </c>
      <c r="M41" s="522">
        <f t="shared" si="14"/>
        <v>0</v>
      </c>
      <c r="N41" s="345">
        <f t="shared" si="3"/>
        <v>1300000</v>
      </c>
      <c r="O41" s="355">
        <f>N41/H41</f>
        <v>1</v>
      </c>
      <c r="P41" s="344">
        <f>L41</f>
        <v>0</v>
      </c>
      <c r="Q41" s="567">
        <f t="shared" si="26"/>
        <v>0</v>
      </c>
      <c r="R41" s="567">
        <f t="shared" si="13"/>
        <v>0</v>
      </c>
    </row>
    <row r="42" spans="1:18" ht="15">
      <c r="A42" s="334">
        <v>202120105</v>
      </c>
      <c r="B42" s="351" t="s">
        <v>39</v>
      </c>
      <c r="C42" s="336">
        <f>'PAC INICIAL 2020'!C41</f>
        <v>0</v>
      </c>
      <c r="D42" s="342"/>
      <c r="E42" s="338"/>
      <c r="F42" s="339"/>
      <c r="G42" s="347"/>
      <c r="H42" s="341">
        <f>C42-D42+E42+F42-G42</f>
        <v>0</v>
      </c>
      <c r="I42" s="342">
        <f>JUNIO!I42+JUNIO!J42</f>
        <v>0</v>
      </c>
      <c r="J42" s="342">
        <v>0</v>
      </c>
      <c r="K42" s="343">
        <v>0</v>
      </c>
      <c r="L42" s="353">
        <f t="shared" si="10"/>
        <v>0</v>
      </c>
      <c r="M42" s="522">
        <f t="shared" si="14"/>
        <v>0</v>
      </c>
      <c r="N42" s="345">
        <f t="shared" si="3"/>
        <v>0</v>
      </c>
      <c r="O42" s="355">
        <v>0</v>
      </c>
      <c r="P42" s="344">
        <f>L42</f>
        <v>0</v>
      </c>
      <c r="Q42" s="567">
        <f t="shared" si="26"/>
        <v>0</v>
      </c>
      <c r="R42" s="567">
        <f t="shared" si="13"/>
        <v>0</v>
      </c>
    </row>
    <row r="43" spans="1:18" s="349" customFormat="1" ht="27.75" customHeight="1">
      <c r="A43" s="327">
        <v>2021202</v>
      </c>
      <c r="B43" s="352" t="s">
        <v>41</v>
      </c>
      <c r="C43" s="329">
        <f t="shared" ref="C43:J43" si="27">SUM(C44:C59)</f>
        <v>127719000</v>
      </c>
      <c r="D43" s="329">
        <f t="shared" si="27"/>
        <v>0</v>
      </c>
      <c r="E43" s="329">
        <f t="shared" si="27"/>
        <v>0</v>
      </c>
      <c r="F43" s="329">
        <f t="shared" si="27"/>
        <v>13500000</v>
      </c>
      <c r="G43" s="329">
        <f t="shared" si="27"/>
        <v>0</v>
      </c>
      <c r="H43" s="329">
        <f t="shared" si="27"/>
        <v>141219000</v>
      </c>
      <c r="I43" s="329">
        <f t="shared" si="27"/>
        <v>35691317</v>
      </c>
      <c r="J43" s="329">
        <f t="shared" si="27"/>
        <v>3151791</v>
      </c>
      <c r="K43" s="330">
        <f t="shared" ref="K43:K50" si="28">L43/H43</f>
        <v>0.27505582110056015</v>
      </c>
      <c r="L43" s="331">
        <f>SUM(L44:L59)</f>
        <v>38843108</v>
      </c>
      <c r="M43" s="331">
        <f>SUM(M44:M59)</f>
        <v>38843108</v>
      </c>
      <c r="N43" s="348">
        <f>SUM(N44:N59)</f>
        <v>102375892</v>
      </c>
      <c r="O43" s="332">
        <f t="shared" ref="O43:O48" si="29">N43/H43</f>
        <v>0.72494417889943985</v>
      </c>
      <c r="P43" s="348">
        <f>SUM(P44:P59)</f>
        <v>38843108</v>
      </c>
      <c r="Q43" s="348">
        <f>SUM(Q44:Q59)</f>
        <v>0</v>
      </c>
      <c r="R43" s="348">
        <f t="shared" si="13"/>
        <v>0</v>
      </c>
    </row>
    <row r="44" spans="1:18" ht="15.75">
      <c r="A44" s="334">
        <v>202120201</v>
      </c>
      <c r="B44" s="351" t="s">
        <v>43</v>
      </c>
      <c r="C44" s="336">
        <f>'PAC INICIAL 2020'!C43</f>
        <v>9000000</v>
      </c>
      <c r="D44" s="342"/>
      <c r="E44" s="338"/>
      <c r="F44" s="339">
        <f>'LIBRO DE PRESUPUESTO'!G227</f>
        <v>10000000</v>
      </c>
      <c r="G44" s="347"/>
      <c r="H44" s="341">
        <f t="shared" ref="H44:H58" si="30">C44-D44+E44+F44-G44</f>
        <v>19000000</v>
      </c>
      <c r="I44" s="342">
        <f>JUNIO!I44+JUNIO!J44</f>
        <v>5191500</v>
      </c>
      <c r="J44" s="342">
        <f>'LIBRO DE PRESUPUESTO'!J232+'LIBRO DE PRESUPUESTO'!J233</f>
        <v>2104000</v>
      </c>
      <c r="K44" s="343">
        <f t="shared" si="28"/>
        <v>0.3839736842105263</v>
      </c>
      <c r="L44" s="344">
        <f t="shared" si="10"/>
        <v>7295500</v>
      </c>
      <c r="M44" s="584">
        <f t="shared" si="14"/>
        <v>7295500</v>
      </c>
      <c r="N44" s="580">
        <f t="shared" si="3"/>
        <v>11704500</v>
      </c>
      <c r="O44" s="581">
        <f t="shared" si="29"/>
        <v>0.61602631578947364</v>
      </c>
      <c r="P44" s="344">
        <f>L44</f>
        <v>7295500</v>
      </c>
      <c r="Q44" s="567">
        <f t="shared" si="26"/>
        <v>0</v>
      </c>
      <c r="R44" s="582">
        <f>SUM(R45:R48)</f>
        <v>0</v>
      </c>
    </row>
    <row r="45" spans="1:18" ht="15">
      <c r="A45" s="334">
        <v>202120202</v>
      </c>
      <c r="B45" s="351" t="s">
        <v>44</v>
      </c>
      <c r="C45" s="336">
        <f>'PAC INICIAL 2020'!C44</f>
        <v>52500000</v>
      </c>
      <c r="D45" s="342"/>
      <c r="E45" s="338"/>
      <c r="F45" s="339"/>
      <c r="G45" s="347"/>
      <c r="H45" s="341">
        <f t="shared" si="30"/>
        <v>52500000</v>
      </c>
      <c r="I45" s="342">
        <f>JUNIO!I45+JUNIO!J45</f>
        <v>17614120</v>
      </c>
      <c r="J45" s="342"/>
      <c r="K45" s="343">
        <f t="shared" si="28"/>
        <v>0.33550704761904759</v>
      </c>
      <c r="L45" s="344">
        <f t="shared" si="10"/>
        <v>17614120</v>
      </c>
      <c r="M45" s="522">
        <f t="shared" si="14"/>
        <v>17614120</v>
      </c>
      <c r="N45" s="345">
        <f t="shared" si="3"/>
        <v>34885880</v>
      </c>
      <c r="O45" s="355">
        <f t="shared" si="29"/>
        <v>0.66449295238095241</v>
      </c>
      <c r="P45" s="344">
        <f t="shared" ref="P45:P61" si="31">L45</f>
        <v>17614120</v>
      </c>
      <c r="Q45" s="567">
        <f t="shared" si="26"/>
        <v>0</v>
      </c>
      <c r="R45" s="567">
        <f t="shared" si="13"/>
        <v>0</v>
      </c>
    </row>
    <row r="46" spans="1:18" ht="15">
      <c r="A46" s="334">
        <v>202120203</v>
      </c>
      <c r="B46" s="351" t="s">
        <v>46</v>
      </c>
      <c r="C46" s="336">
        <f>'PAC INICIAL 2020'!C45</f>
        <v>2000000</v>
      </c>
      <c r="D46" s="342"/>
      <c r="E46" s="338"/>
      <c r="F46" s="339"/>
      <c r="G46" s="347"/>
      <c r="H46" s="341">
        <f t="shared" si="30"/>
        <v>2000000</v>
      </c>
      <c r="I46" s="342">
        <f>JUNIO!I46+JUNIO!J46</f>
        <v>695600</v>
      </c>
      <c r="J46" s="4"/>
      <c r="K46" s="343">
        <f t="shared" si="28"/>
        <v>0.3478</v>
      </c>
      <c r="L46" s="344">
        <f t="shared" si="10"/>
        <v>695600</v>
      </c>
      <c r="M46" s="522">
        <f t="shared" si="14"/>
        <v>695600</v>
      </c>
      <c r="N46" s="345">
        <f t="shared" si="3"/>
        <v>1304400</v>
      </c>
      <c r="O46" s="355">
        <f t="shared" si="29"/>
        <v>0.6522</v>
      </c>
      <c r="P46" s="344">
        <f t="shared" si="31"/>
        <v>695600</v>
      </c>
      <c r="Q46" s="567">
        <f t="shared" si="26"/>
        <v>0</v>
      </c>
      <c r="R46" s="567">
        <f t="shared" si="13"/>
        <v>0</v>
      </c>
    </row>
    <row r="47" spans="1:18" ht="15">
      <c r="A47" s="334">
        <v>202120204</v>
      </c>
      <c r="B47" s="351" t="s">
        <v>48</v>
      </c>
      <c r="C47" s="336">
        <f>'PAC INICIAL 2020'!C46</f>
        <v>11619000</v>
      </c>
      <c r="D47" s="342"/>
      <c r="E47" s="338"/>
      <c r="F47" s="339"/>
      <c r="G47" s="347"/>
      <c r="H47" s="341">
        <f t="shared" si="30"/>
        <v>11619000</v>
      </c>
      <c r="I47" s="342">
        <f>JUNIO!I47+JUNIO!J47</f>
        <v>4586100</v>
      </c>
      <c r="J47" s="4">
        <f>'LIBRO DE PRESUPUESTO'!J408</f>
        <v>634400</v>
      </c>
      <c r="K47" s="343">
        <f t="shared" si="28"/>
        <v>0.44930716929167741</v>
      </c>
      <c r="L47" s="344">
        <f t="shared" si="10"/>
        <v>5220500</v>
      </c>
      <c r="M47" s="522">
        <f t="shared" si="14"/>
        <v>5220500</v>
      </c>
      <c r="N47" s="345">
        <f t="shared" si="3"/>
        <v>6398500</v>
      </c>
      <c r="O47" s="346">
        <f t="shared" si="29"/>
        <v>0.55069283070832253</v>
      </c>
      <c r="P47" s="344">
        <f t="shared" si="31"/>
        <v>5220500</v>
      </c>
      <c r="Q47" s="567">
        <f t="shared" si="26"/>
        <v>0</v>
      </c>
      <c r="R47" s="567">
        <f t="shared" si="13"/>
        <v>0</v>
      </c>
    </row>
    <row r="48" spans="1:18" ht="15">
      <c r="A48" s="334">
        <v>202120205</v>
      </c>
      <c r="B48" s="351" t="s">
        <v>50</v>
      </c>
      <c r="C48" s="336">
        <f>'PAC INICIAL 2020'!C47</f>
        <v>8000000</v>
      </c>
      <c r="D48" s="342"/>
      <c r="E48" s="338"/>
      <c r="F48" s="339"/>
      <c r="G48" s="347"/>
      <c r="H48" s="341">
        <f t="shared" si="30"/>
        <v>8000000</v>
      </c>
      <c r="I48" s="342">
        <f>JUNIO!I48+JUNIO!J48</f>
        <v>1928994</v>
      </c>
      <c r="J48" s="4">
        <f>'LIBRO DE PRESUPUESTO'!J429+'LIBRO DE PRESUPUESTO'!J430</f>
        <v>320431</v>
      </c>
      <c r="K48" s="343">
        <f t="shared" si="28"/>
        <v>0.281178125</v>
      </c>
      <c r="L48" s="344">
        <f t="shared" si="10"/>
        <v>2249425</v>
      </c>
      <c r="M48" s="522">
        <f t="shared" si="14"/>
        <v>2249425</v>
      </c>
      <c r="N48" s="345">
        <f t="shared" si="3"/>
        <v>5750575</v>
      </c>
      <c r="O48" s="346">
        <f t="shared" si="29"/>
        <v>0.71882187500000005</v>
      </c>
      <c r="P48" s="344">
        <f t="shared" si="31"/>
        <v>2249425</v>
      </c>
      <c r="Q48" s="567">
        <f t="shared" si="26"/>
        <v>0</v>
      </c>
      <c r="R48" s="567">
        <f t="shared" si="13"/>
        <v>0</v>
      </c>
    </row>
    <row r="49" spans="1:18" ht="15.75">
      <c r="A49" s="334">
        <v>202120206</v>
      </c>
      <c r="B49" s="351" t="s">
        <v>52</v>
      </c>
      <c r="C49" s="336">
        <f>'PAC INICIAL 2020'!C48</f>
        <v>2500000</v>
      </c>
      <c r="D49" s="342"/>
      <c r="E49" s="338"/>
      <c r="F49" s="339"/>
      <c r="G49" s="347"/>
      <c r="H49" s="341">
        <f t="shared" si="30"/>
        <v>2500000</v>
      </c>
      <c r="I49" s="342">
        <f>JUNIO!I49+JUNIO!J49</f>
        <v>563470</v>
      </c>
      <c r="J49" s="2">
        <f>'LIBRO DE PRESUPUESTO'!J466+'LIBRO DE PRESUPUESTO'!J467</f>
        <v>92960</v>
      </c>
      <c r="K49" s="343">
        <f t="shared" si="28"/>
        <v>0.26257200000000003</v>
      </c>
      <c r="L49" s="344">
        <f t="shared" si="10"/>
        <v>656430</v>
      </c>
      <c r="M49" s="584">
        <f t="shared" si="14"/>
        <v>656430</v>
      </c>
      <c r="N49" s="345">
        <f t="shared" si="3"/>
        <v>1843570</v>
      </c>
      <c r="O49" s="346">
        <v>0</v>
      </c>
      <c r="P49" s="344">
        <f t="shared" si="31"/>
        <v>656430</v>
      </c>
      <c r="Q49" s="567">
        <f t="shared" si="26"/>
        <v>0</v>
      </c>
      <c r="R49" s="579">
        <f>SUM(R50:R59)</f>
        <v>0</v>
      </c>
    </row>
    <row r="50" spans="1:18" ht="15">
      <c r="A50" s="334">
        <v>202120207</v>
      </c>
      <c r="B50" s="354" t="s">
        <v>54</v>
      </c>
      <c r="C50" s="336">
        <f>'PAC INICIAL 2020'!C49</f>
        <v>1500000</v>
      </c>
      <c r="D50" s="342"/>
      <c r="E50" s="338"/>
      <c r="F50" s="339"/>
      <c r="G50" s="347"/>
      <c r="H50" s="341">
        <f t="shared" si="30"/>
        <v>1500000</v>
      </c>
      <c r="I50" s="342">
        <f>JUNIO!I50+JUNIO!J50</f>
        <v>0</v>
      </c>
      <c r="J50" s="342">
        <v>0</v>
      </c>
      <c r="K50" s="343">
        <f t="shared" si="28"/>
        <v>0</v>
      </c>
      <c r="L50" s="344">
        <f t="shared" si="10"/>
        <v>0</v>
      </c>
      <c r="M50" s="522">
        <f t="shared" si="14"/>
        <v>0</v>
      </c>
      <c r="N50" s="345">
        <f t="shared" si="3"/>
        <v>1500000</v>
      </c>
      <c r="O50" s="346">
        <f>N50/H50</f>
        <v>1</v>
      </c>
      <c r="P50" s="344">
        <f t="shared" si="31"/>
        <v>0</v>
      </c>
      <c r="Q50" s="567">
        <f t="shared" si="26"/>
        <v>0</v>
      </c>
      <c r="R50" s="567">
        <f t="shared" si="13"/>
        <v>0</v>
      </c>
    </row>
    <row r="51" spans="1:18" ht="15">
      <c r="A51" s="334">
        <v>202120208</v>
      </c>
      <c r="B51" s="351" t="s">
        <v>56</v>
      </c>
      <c r="C51" s="336">
        <f>'PAC INICIAL 2020'!C50</f>
        <v>0</v>
      </c>
      <c r="D51" s="342"/>
      <c r="E51" s="338"/>
      <c r="F51" s="357"/>
      <c r="G51" s="347"/>
      <c r="H51" s="341">
        <f t="shared" si="30"/>
        <v>0</v>
      </c>
      <c r="I51" s="342">
        <f>JUNIO!I51+JUNIO!J51</f>
        <v>0</v>
      </c>
      <c r="J51" s="342">
        <v>0</v>
      </c>
      <c r="K51" s="343">
        <v>0</v>
      </c>
      <c r="L51" s="344">
        <f t="shared" si="10"/>
        <v>0</v>
      </c>
      <c r="M51" s="522">
        <f t="shared" si="14"/>
        <v>0</v>
      </c>
      <c r="N51" s="345">
        <f t="shared" si="3"/>
        <v>0</v>
      </c>
      <c r="O51" s="346">
        <v>0</v>
      </c>
      <c r="P51" s="344">
        <f t="shared" si="31"/>
        <v>0</v>
      </c>
      <c r="Q51" s="567">
        <f t="shared" si="26"/>
        <v>0</v>
      </c>
      <c r="R51" s="567">
        <f t="shared" si="13"/>
        <v>0</v>
      </c>
    </row>
    <row r="52" spans="1:18" ht="15">
      <c r="A52" s="334">
        <v>202120209</v>
      </c>
      <c r="B52" s="351" t="s">
        <v>58</v>
      </c>
      <c r="C52" s="336">
        <f>'PAC INICIAL 2020'!C51</f>
        <v>9400000</v>
      </c>
      <c r="D52" s="342"/>
      <c r="E52" s="338"/>
      <c r="F52" s="339"/>
      <c r="G52" s="347"/>
      <c r="H52" s="341">
        <f t="shared" si="30"/>
        <v>9400000</v>
      </c>
      <c r="I52" s="342">
        <f>JUNIO!I52+JUNIO!J52</f>
        <v>2481533</v>
      </c>
      <c r="J52" s="6">
        <v>0</v>
      </c>
      <c r="K52" s="343">
        <f>L52/H52</f>
        <v>0.26399287234042551</v>
      </c>
      <c r="L52" s="344">
        <f t="shared" si="10"/>
        <v>2481533</v>
      </c>
      <c r="M52" s="522">
        <f t="shared" si="14"/>
        <v>2481533</v>
      </c>
      <c r="N52" s="345">
        <f t="shared" si="3"/>
        <v>6918467</v>
      </c>
      <c r="O52" s="346">
        <f>N52/H52</f>
        <v>0.73600712765957443</v>
      </c>
      <c r="P52" s="344">
        <f t="shared" si="31"/>
        <v>2481533</v>
      </c>
      <c r="Q52" s="567">
        <f t="shared" si="26"/>
        <v>0</v>
      </c>
      <c r="R52" s="567">
        <f t="shared" si="13"/>
        <v>0</v>
      </c>
    </row>
    <row r="53" spans="1:18" ht="15">
      <c r="A53" s="334">
        <v>202120210</v>
      </c>
      <c r="B53" s="354" t="s">
        <v>60</v>
      </c>
      <c r="C53" s="336">
        <f>'PAC INICIAL 2020'!C52</f>
        <v>10000000</v>
      </c>
      <c r="D53" s="342"/>
      <c r="E53" s="338"/>
      <c r="F53" s="339"/>
      <c r="G53" s="347"/>
      <c r="H53" s="341">
        <f t="shared" si="30"/>
        <v>10000000</v>
      </c>
      <c r="I53" s="342">
        <f>JUNIO!I53+JUNIO!J53</f>
        <v>1500000</v>
      </c>
      <c r="J53" s="6">
        <v>0</v>
      </c>
      <c r="K53" s="343">
        <f>L53/H53</f>
        <v>0.15</v>
      </c>
      <c r="L53" s="344">
        <f t="shared" si="10"/>
        <v>1500000</v>
      </c>
      <c r="M53" s="522">
        <f t="shared" si="14"/>
        <v>1500000</v>
      </c>
      <c r="N53" s="345">
        <f t="shared" si="3"/>
        <v>8500000</v>
      </c>
      <c r="O53" s="346">
        <f>N53/H53</f>
        <v>0.85</v>
      </c>
      <c r="P53" s="344">
        <f t="shared" si="31"/>
        <v>1500000</v>
      </c>
      <c r="Q53" s="567">
        <f t="shared" si="26"/>
        <v>0</v>
      </c>
      <c r="R53" s="567">
        <f t="shared" si="13"/>
        <v>0</v>
      </c>
    </row>
    <row r="54" spans="1:18" ht="15">
      <c r="A54" s="334">
        <v>202120211</v>
      </c>
      <c r="B54" s="351" t="s">
        <v>62</v>
      </c>
      <c r="C54" s="336">
        <f>'PAC INICIAL 2020'!C53</f>
        <v>4000000</v>
      </c>
      <c r="D54" s="342"/>
      <c r="E54" s="338"/>
      <c r="F54" s="339"/>
      <c r="G54" s="347"/>
      <c r="H54" s="341">
        <f t="shared" si="30"/>
        <v>4000000</v>
      </c>
      <c r="I54" s="342">
        <f>JUNIO!I54+JUNIO!J54</f>
        <v>1130000</v>
      </c>
      <c r="J54" s="6">
        <v>0</v>
      </c>
      <c r="K54" s="343">
        <v>0</v>
      </c>
      <c r="L54" s="344">
        <f t="shared" si="10"/>
        <v>1130000</v>
      </c>
      <c r="M54" s="522">
        <f t="shared" si="14"/>
        <v>1130000</v>
      </c>
      <c r="N54" s="345">
        <f t="shared" si="3"/>
        <v>2870000</v>
      </c>
      <c r="O54" s="346">
        <v>0</v>
      </c>
      <c r="P54" s="344">
        <f t="shared" si="31"/>
        <v>1130000</v>
      </c>
      <c r="Q54" s="567">
        <f t="shared" si="26"/>
        <v>0</v>
      </c>
      <c r="R54" s="567">
        <f t="shared" si="13"/>
        <v>0</v>
      </c>
    </row>
    <row r="55" spans="1:18" ht="15">
      <c r="A55" s="334">
        <v>202120212</v>
      </c>
      <c r="B55" s="351" t="s">
        <v>64</v>
      </c>
      <c r="C55" s="336">
        <f>'PAC INICIAL 2020'!C54</f>
        <v>15000000</v>
      </c>
      <c r="D55" s="342"/>
      <c r="E55" s="338"/>
      <c r="F55" s="339"/>
      <c r="G55" s="347"/>
      <c r="H55" s="341">
        <f t="shared" si="30"/>
        <v>15000000</v>
      </c>
      <c r="I55" s="342">
        <f>JUNIO!I55+JUNIO!J55</f>
        <v>0</v>
      </c>
      <c r="J55" s="342">
        <v>0</v>
      </c>
      <c r="K55" s="343">
        <v>0</v>
      </c>
      <c r="L55" s="344">
        <f t="shared" si="10"/>
        <v>0</v>
      </c>
      <c r="M55" s="522">
        <f t="shared" si="14"/>
        <v>0</v>
      </c>
      <c r="N55" s="345">
        <f t="shared" si="3"/>
        <v>15000000</v>
      </c>
      <c r="O55" s="346">
        <v>0</v>
      </c>
      <c r="P55" s="344">
        <f t="shared" si="31"/>
        <v>0</v>
      </c>
      <c r="Q55" s="567">
        <f t="shared" si="26"/>
        <v>0</v>
      </c>
      <c r="R55" s="567">
        <f t="shared" si="13"/>
        <v>0</v>
      </c>
    </row>
    <row r="56" spans="1:18" ht="15">
      <c r="A56" s="334">
        <v>202120213</v>
      </c>
      <c r="B56" s="351" t="s">
        <v>65</v>
      </c>
      <c r="C56" s="336">
        <f>'PAC INICIAL 2020'!C55</f>
        <v>0</v>
      </c>
      <c r="D56" s="342"/>
      <c r="E56" s="338"/>
      <c r="F56" s="339"/>
      <c r="G56" s="347"/>
      <c r="H56" s="341">
        <f t="shared" si="30"/>
        <v>0</v>
      </c>
      <c r="I56" s="342">
        <f>JUNIO!I56+JUNIO!J56</f>
        <v>0</v>
      </c>
      <c r="J56" s="342">
        <v>0</v>
      </c>
      <c r="K56" s="343">
        <v>0</v>
      </c>
      <c r="L56" s="344">
        <f t="shared" si="10"/>
        <v>0</v>
      </c>
      <c r="M56" s="522">
        <f t="shared" si="14"/>
        <v>0</v>
      </c>
      <c r="N56" s="345">
        <f t="shared" si="3"/>
        <v>0</v>
      </c>
      <c r="O56" s="346">
        <v>0</v>
      </c>
      <c r="P56" s="344">
        <f t="shared" si="31"/>
        <v>0</v>
      </c>
      <c r="Q56" s="567">
        <f t="shared" si="26"/>
        <v>0</v>
      </c>
      <c r="R56" s="567">
        <f t="shared" si="13"/>
        <v>0</v>
      </c>
    </row>
    <row r="57" spans="1:18" ht="15">
      <c r="A57" s="334">
        <v>202120214</v>
      </c>
      <c r="B57" s="351" t="s">
        <v>67</v>
      </c>
      <c r="C57" s="336">
        <f>'PAC INICIAL 2020'!C56</f>
        <v>0</v>
      </c>
      <c r="D57" s="342"/>
      <c r="E57" s="338"/>
      <c r="F57" s="339">
        <f>'LIBRO DE PRESUPUESTO'!G536</f>
        <v>3500000</v>
      </c>
      <c r="G57" s="347"/>
      <c r="H57" s="341">
        <f t="shared" si="30"/>
        <v>3500000</v>
      </c>
      <c r="I57" s="342">
        <f>JUNIO!I57+JUNIO!J57</f>
        <v>0</v>
      </c>
      <c r="J57" s="342">
        <v>0</v>
      </c>
      <c r="K57" s="343">
        <v>0</v>
      </c>
      <c r="L57" s="344">
        <f t="shared" si="10"/>
        <v>0</v>
      </c>
      <c r="M57" s="522">
        <f t="shared" si="14"/>
        <v>0</v>
      </c>
      <c r="N57" s="345">
        <f t="shared" si="3"/>
        <v>3500000</v>
      </c>
      <c r="O57" s="346">
        <v>0</v>
      </c>
      <c r="P57" s="344">
        <f t="shared" si="31"/>
        <v>0</v>
      </c>
      <c r="Q57" s="567">
        <f t="shared" si="26"/>
        <v>0</v>
      </c>
      <c r="R57" s="567">
        <f t="shared" si="13"/>
        <v>0</v>
      </c>
    </row>
    <row r="58" spans="1:18" ht="15">
      <c r="A58" s="358">
        <v>202120215</v>
      </c>
      <c r="B58" s="351" t="s">
        <v>97</v>
      </c>
      <c r="C58" s="336">
        <f>'PAC INICIAL 2020'!C57</f>
        <v>1200000</v>
      </c>
      <c r="D58" s="342"/>
      <c r="E58" s="338"/>
      <c r="F58" s="339"/>
      <c r="G58" s="347"/>
      <c r="H58" s="341">
        <f t="shared" si="30"/>
        <v>1200000</v>
      </c>
      <c r="I58" s="342">
        <f>JUNIO!I58+JUNIO!J58</f>
        <v>0</v>
      </c>
      <c r="J58" s="342">
        <v>0</v>
      </c>
      <c r="K58" s="343">
        <f>L58/H58</f>
        <v>0</v>
      </c>
      <c r="L58" s="344">
        <f t="shared" si="10"/>
        <v>0</v>
      </c>
      <c r="M58" s="522">
        <f t="shared" si="14"/>
        <v>0</v>
      </c>
      <c r="N58" s="345">
        <f t="shared" si="3"/>
        <v>1200000</v>
      </c>
      <c r="O58" s="346">
        <f>N58/H58</f>
        <v>1</v>
      </c>
      <c r="P58" s="344">
        <f t="shared" si="31"/>
        <v>0</v>
      </c>
      <c r="Q58" s="567">
        <f t="shared" si="26"/>
        <v>0</v>
      </c>
      <c r="R58" s="567">
        <f t="shared" si="13"/>
        <v>0</v>
      </c>
    </row>
    <row r="59" spans="1:18" ht="15">
      <c r="A59" s="358">
        <v>202120216</v>
      </c>
      <c r="B59" s="351" t="s">
        <v>148</v>
      </c>
      <c r="C59" s="336">
        <f>'PAC INICIAL 2020'!C58</f>
        <v>1000000</v>
      </c>
      <c r="D59" s="342"/>
      <c r="E59" s="338"/>
      <c r="F59" s="339"/>
      <c r="G59" s="347"/>
      <c r="H59" s="341">
        <f>C59-D59+E59+F59-G59</f>
        <v>1000000</v>
      </c>
      <c r="I59" s="342">
        <f>JUNIO!I59+JUNIO!J59</f>
        <v>0</v>
      </c>
      <c r="J59" s="342">
        <v>0</v>
      </c>
      <c r="K59" s="343">
        <f>L59/H59</f>
        <v>0</v>
      </c>
      <c r="L59" s="344">
        <f t="shared" si="10"/>
        <v>0</v>
      </c>
      <c r="M59" s="522">
        <f t="shared" si="14"/>
        <v>0</v>
      </c>
      <c r="N59" s="345">
        <f>H59-L59</f>
        <v>1000000</v>
      </c>
      <c r="O59" s="346">
        <f>N59/H59</f>
        <v>1</v>
      </c>
      <c r="P59" s="344">
        <f t="shared" si="31"/>
        <v>0</v>
      </c>
      <c r="Q59" s="567">
        <f t="shared" si="26"/>
        <v>0</v>
      </c>
      <c r="R59" s="567">
        <f t="shared" si="13"/>
        <v>0</v>
      </c>
    </row>
    <row r="60" spans="1:18" ht="27" customHeight="1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0</v>
      </c>
      <c r="H60" s="329">
        <f>SUM(H61:H61)</f>
        <v>75000000</v>
      </c>
      <c r="I60" s="329">
        <f>SUM(I61:I61)</f>
        <v>62645000</v>
      </c>
      <c r="J60" s="329">
        <f>SUM(J61:J61)</f>
        <v>0</v>
      </c>
      <c r="K60" s="330">
        <f>K61</f>
        <v>1</v>
      </c>
      <c r="L60" s="331">
        <f>L61</f>
        <v>62645000</v>
      </c>
      <c r="M60" s="348">
        <f t="shared" si="14"/>
        <v>62645000</v>
      </c>
      <c r="N60" s="348">
        <f>SUM(N61:N61)</f>
        <v>12355000</v>
      </c>
      <c r="O60" s="332">
        <v>0</v>
      </c>
      <c r="P60" s="329">
        <f>SUM(P61:P61)</f>
        <v>62645000</v>
      </c>
      <c r="Q60" s="329">
        <f>SUM(Q61:Q61)</f>
        <v>0</v>
      </c>
      <c r="R60" s="329">
        <f>SUM(R61:R61)</f>
        <v>0</v>
      </c>
    </row>
    <row r="61" spans="1:18" ht="15">
      <c r="A61" s="368">
        <v>202130101</v>
      </c>
      <c r="B61" s="369" t="s">
        <v>96</v>
      </c>
      <c r="C61" s="336">
        <f>'PAC INICIAL 2020'!C76</f>
        <v>75000000</v>
      </c>
      <c r="D61" s="370">
        <v>0</v>
      </c>
      <c r="E61" s="371"/>
      <c r="F61" s="372"/>
      <c r="G61" s="373"/>
      <c r="H61" s="341">
        <f>C61-D61+E61+F61-G61</f>
        <v>75000000</v>
      </c>
      <c r="I61" s="342">
        <f>JUNIO!I61+JUNIO!J61</f>
        <v>62645000</v>
      </c>
      <c r="J61" s="370">
        <v>0</v>
      </c>
      <c r="K61" s="343">
        <v>1</v>
      </c>
      <c r="L61" s="344">
        <f>J61+I61</f>
        <v>62645000</v>
      </c>
      <c r="M61" s="522">
        <f t="shared" si="14"/>
        <v>62645000</v>
      </c>
      <c r="N61" s="345">
        <f t="shared" si="3"/>
        <v>12355000</v>
      </c>
      <c r="O61" s="346">
        <v>0</v>
      </c>
      <c r="P61" s="344">
        <f t="shared" si="31"/>
        <v>62645000</v>
      </c>
      <c r="Q61" s="567">
        <f t="shared" si="26"/>
        <v>0</v>
      </c>
      <c r="R61" s="344"/>
    </row>
    <row r="62" spans="1:18" s="380" customFormat="1" ht="31.5" customHeight="1" thickBot="1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167244166</v>
      </c>
      <c r="F62" s="377">
        <f>F8+F18+F38+F43++F22+F27+F60</f>
        <v>105000000</v>
      </c>
      <c r="G62" s="377">
        <f>G8+G18+G38+G43+G22+G27+G60</f>
        <v>105000000</v>
      </c>
      <c r="H62" s="377">
        <f>H8+H18+H38+H43+H22+H27+H60</f>
        <v>1322370231</v>
      </c>
      <c r="I62" s="377">
        <f>I8+I18+I38+I43+I22+I27+I60</f>
        <v>493589821</v>
      </c>
      <c r="J62" s="377">
        <f>J8+J18+J38+J43+J22+J27+J60</f>
        <v>98629512.446527779</v>
      </c>
      <c r="K62" s="378">
        <f>L62/H62</f>
        <v>0.44784684316334078</v>
      </c>
      <c r="L62" s="377">
        <f>L8+L18+L38+L43+L22+L27+L60</f>
        <v>592219333.44652772</v>
      </c>
      <c r="M62" s="377">
        <f>M8+M18+M38+M43+M22+M27+M60</f>
        <v>592219333.44652772</v>
      </c>
      <c r="N62" s="377">
        <f>N8+N18+N38+N43+N22+N27+N60</f>
        <v>730150897.55347228</v>
      </c>
      <c r="O62" s="379">
        <f>N62/H62</f>
        <v>0.55215315683665922</v>
      </c>
      <c r="P62" s="377">
        <f>P8+P18+P38+P43+P22+P27+P60</f>
        <v>549719333.44652772</v>
      </c>
      <c r="Q62" s="568">
        <f>Q9+Q18+Q22+Q27+Q44+Q49+Q60</f>
        <v>42500000</v>
      </c>
      <c r="R62" s="377">
        <f>R9+R18+R22+R27+R44+R49+R60</f>
        <v>0</v>
      </c>
    </row>
    <row r="63" spans="1:18" ht="35.25" customHeight="1" thickBot="1">
      <c r="A63" s="381" t="s">
        <v>172</v>
      </c>
      <c r="B63" s="686" t="s">
        <v>173</v>
      </c>
      <c r="C63" s="687"/>
      <c r="D63" s="687"/>
      <c r="E63" s="687"/>
      <c r="F63" s="687"/>
      <c r="G63" s="687"/>
      <c r="H63" s="687"/>
      <c r="I63" s="687"/>
      <c r="J63" s="687"/>
      <c r="K63" s="687"/>
      <c r="L63" s="687"/>
      <c r="M63" s="687"/>
      <c r="N63" s="687"/>
      <c r="O63" s="687"/>
      <c r="P63" s="687"/>
      <c r="Q63" s="687"/>
      <c r="R63" s="688"/>
    </row>
    <row r="65" spans="4:14">
      <c r="D65" s="382"/>
      <c r="E65" s="382"/>
      <c r="F65" s="382"/>
      <c r="G65" s="382"/>
      <c r="N65" s="382"/>
    </row>
    <row r="66" spans="4:14">
      <c r="G66" s="382"/>
      <c r="I66" s="382"/>
      <c r="J66" s="385"/>
      <c r="N66" s="382"/>
    </row>
    <row r="67" spans="4:14">
      <c r="D67" s="382"/>
      <c r="J67" s="382"/>
      <c r="K67" s="382"/>
      <c r="N67" s="382"/>
    </row>
    <row r="68" spans="4:14">
      <c r="H68" s="382"/>
      <c r="J68" s="382"/>
      <c r="N68" s="382"/>
    </row>
    <row r="69" spans="4:14">
      <c r="H69" s="382"/>
      <c r="J69" s="382"/>
    </row>
  </sheetData>
  <mergeCells count="5">
    <mergeCell ref="K5:K6"/>
    <mergeCell ref="B63:R63"/>
    <mergeCell ref="A1:O1"/>
    <mergeCell ref="A2:O2"/>
    <mergeCell ref="A3:O3"/>
  </mergeCells>
  <printOptions horizontalCentered="1" verticalCentered="1"/>
  <pageMargins left="0.23622047244094491" right="0.23622047244094491" top="0.39370078740157483" bottom="0.39370078740157483" header="0" footer="0"/>
  <pageSetup paperSize="14" scale="5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zoomScale="80" zoomScaleNormal="80" zoomScaleSheetLayoutView="80" workbookViewId="0">
      <pane xSplit="2" ySplit="7" topLeftCell="E8" activePane="bottomRight" state="frozen"/>
      <selection activeCell="J228" sqref="J228"/>
      <selection pane="topRight" activeCell="J228" sqref="J228"/>
      <selection pane="bottomLeft" activeCell="J228" sqref="J228"/>
      <selection pane="bottomRight" activeCell="J228" sqref="J228"/>
    </sheetView>
  </sheetViews>
  <sheetFormatPr baseColWidth="10" defaultRowHeight="14.25"/>
  <cols>
    <col min="1" max="1" width="16" style="383" customWidth="1"/>
    <col min="2" max="2" width="35.25" style="1" customWidth="1"/>
    <col min="3" max="3" width="18.125" style="1" bestFit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20.875" style="384" bestFit="1" customWidth="1"/>
    <col min="14" max="14" width="16.875" style="1" bestFit="1" customWidth="1"/>
    <col min="15" max="15" width="8.5" style="1" customWidth="1"/>
    <col min="16" max="16" width="16.5" style="1" bestFit="1" customWidth="1"/>
    <col min="17" max="17" width="20.625" style="1" bestFit="1" customWidth="1"/>
    <col min="18" max="18" width="14.875" style="1" bestFit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>
      <c r="A1" s="679" t="s">
        <v>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</row>
    <row r="2" spans="1:18" ht="18">
      <c r="A2" s="680" t="s">
        <v>156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</row>
    <row r="3" spans="1:18" ht="18">
      <c r="A3" s="680" t="s">
        <v>251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</row>
    <row r="4" spans="1:18" ht="18.75" thickBot="1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2"/>
      <c r="N4" s="300"/>
      <c r="O4" s="303"/>
    </row>
    <row r="5" spans="1:18" s="537" customFormat="1" ht="23.25" customHeight="1">
      <c r="A5" s="569" t="s">
        <v>157</v>
      </c>
      <c r="B5" s="570" t="s">
        <v>1</v>
      </c>
      <c r="C5" s="560" t="s">
        <v>254</v>
      </c>
      <c r="D5" s="533" t="s">
        <v>159</v>
      </c>
      <c r="E5" s="561" t="s">
        <v>160</v>
      </c>
      <c r="F5" s="561" t="s">
        <v>2</v>
      </c>
      <c r="G5" s="560" t="s">
        <v>161</v>
      </c>
      <c r="H5" s="533" t="s">
        <v>162</v>
      </c>
      <c r="I5" s="561" t="s">
        <v>207</v>
      </c>
      <c r="J5" s="560" t="s">
        <v>164</v>
      </c>
      <c r="K5" s="681" t="s">
        <v>165</v>
      </c>
      <c r="L5" s="535" t="s">
        <v>162</v>
      </c>
      <c r="M5" s="535"/>
      <c r="N5" s="560" t="s">
        <v>166</v>
      </c>
      <c r="O5" s="536" t="s">
        <v>165</v>
      </c>
      <c r="P5" s="533" t="s">
        <v>226</v>
      </c>
      <c r="Q5" s="533" t="s">
        <v>227</v>
      </c>
      <c r="R5" s="533" t="s">
        <v>228</v>
      </c>
    </row>
    <row r="6" spans="1:18" s="537" customFormat="1" ht="23.25" customHeight="1" thickBot="1">
      <c r="A6" s="571"/>
      <c r="B6" s="572"/>
      <c r="C6" s="573" t="s">
        <v>3</v>
      </c>
      <c r="D6" s="574"/>
      <c r="E6" s="575"/>
      <c r="F6" s="575"/>
      <c r="G6" s="573" t="s">
        <v>2</v>
      </c>
      <c r="H6" s="574" t="s">
        <v>158</v>
      </c>
      <c r="I6" s="576" t="s">
        <v>167</v>
      </c>
      <c r="J6" s="573" t="s">
        <v>168</v>
      </c>
      <c r="K6" s="682"/>
      <c r="L6" s="577" t="s">
        <v>255</v>
      </c>
      <c r="M6" s="577" t="s">
        <v>231</v>
      </c>
      <c r="N6" s="573" t="s">
        <v>170</v>
      </c>
      <c r="O6" s="578"/>
      <c r="P6" s="574" t="s">
        <v>253</v>
      </c>
      <c r="Q6" s="574" t="s">
        <v>229</v>
      </c>
      <c r="R6" s="574" t="s">
        <v>230</v>
      </c>
    </row>
    <row r="7" spans="1:18" ht="1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4"/>
      <c r="N7" s="325"/>
      <c r="O7" s="326"/>
      <c r="P7" s="566"/>
      <c r="Q7" s="566"/>
      <c r="R7" s="566"/>
    </row>
    <row r="8" spans="1:18" s="333" customFormat="1" ht="27.75" customHeight="1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167244166</v>
      </c>
      <c r="F8" s="329">
        <f t="shared" si="0"/>
        <v>0</v>
      </c>
      <c r="G8" s="329">
        <f t="shared" si="0"/>
        <v>15500000</v>
      </c>
      <c r="H8" s="329">
        <f t="shared" si="0"/>
        <v>802121490</v>
      </c>
      <c r="I8" s="329">
        <f t="shared" si="0"/>
        <v>205899234</v>
      </c>
      <c r="J8" s="329">
        <f>SUM(J9:J17)</f>
        <v>38659596</v>
      </c>
      <c r="K8" s="330">
        <f t="shared" ref="K8:K19" si="1">L8/H8</f>
        <v>0.30489001111290509</v>
      </c>
      <c r="L8" s="331">
        <f>SUM(L9:L17)</f>
        <v>244558830</v>
      </c>
      <c r="M8" s="331">
        <f>SUM(M9:M17)</f>
        <v>244558830</v>
      </c>
      <c r="N8" s="329">
        <f>SUM(N9:N17)</f>
        <v>557562660</v>
      </c>
      <c r="O8" s="332">
        <f>N8/H8</f>
        <v>0.69510998888709485</v>
      </c>
      <c r="P8" s="329">
        <f>SUM(P9:P17)</f>
        <v>244558830</v>
      </c>
      <c r="Q8" s="329">
        <f>SUM(Q9:Q17)</f>
        <v>0</v>
      </c>
      <c r="R8" s="329">
        <f>SUM(R9:R17)</f>
        <v>0</v>
      </c>
    </row>
    <row r="9" spans="1:18" ht="1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PRESUPUESTO'!H7+'LIBRO DE PRESUPUESTO'!H12</f>
        <v>15500000</v>
      </c>
      <c r="H9" s="341">
        <f>C9-D9+E9+F9-G9</f>
        <v>472731324</v>
      </c>
      <c r="I9" s="342">
        <f>MAYO!I9+MAYO!J9</f>
        <v>187871724</v>
      </c>
      <c r="J9" s="4">
        <f>'LIBRO DE PRESUPUESTO'!J14</f>
        <v>38474514</v>
      </c>
      <c r="K9" s="343">
        <f t="shared" si="1"/>
        <v>0.47880524625442422</v>
      </c>
      <c r="L9" s="344">
        <f t="shared" ref="L9:L15" si="2">J9+I9</f>
        <v>226346238</v>
      </c>
      <c r="M9" s="522">
        <f>I9+J9</f>
        <v>226346238</v>
      </c>
      <c r="N9" s="345">
        <f t="shared" ref="N9:N61" si="3">H9-L9</f>
        <v>246385086</v>
      </c>
      <c r="O9" s="346">
        <f>N9/H9</f>
        <v>0.52119475374557578</v>
      </c>
      <c r="P9" s="567">
        <v>226346238</v>
      </c>
      <c r="Q9" s="567">
        <f>M9-P9</f>
        <v>0</v>
      </c>
      <c r="R9" s="567">
        <f>L9-M9</f>
        <v>0</v>
      </c>
    </row>
    <row r="10" spans="1:18" ht="15">
      <c r="A10" s="334">
        <v>202110101</v>
      </c>
      <c r="B10" s="335" t="s">
        <v>217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f>MAYO!I10+MAYO!J10</f>
        <v>0</v>
      </c>
      <c r="J10" s="4">
        <v>0</v>
      </c>
      <c r="K10" s="343">
        <f t="shared" si="1"/>
        <v>0</v>
      </c>
      <c r="L10" s="344">
        <f t="shared" si="2"/>
        <v>0</v>
      </c>
      <c r="M10" s="522">
        <f t="shared" ref="M10:M17" si="4">I10+J10</f>
        <v>0</v>
      </c>
      <c r="N10" s="345">
        <f t="shared" si="3"/>
        <v>167244166</v>
      </c>
      <c r="O10" s="346">
        <f>N10/H10</f>
        <v>1</v>
      </c>
      <c r="P10" s="567">
        <f>L10</f>
        <v>0</v>
      </c>
      <c r="Q10" s="567">
        <f t="shared" ref="Q10:Q17" si="5">M10-P10</f>
        <v>0</v>
      </c>
      <c r="R10" s="567">
        <f t="shared" ref="R10:R17" si="6">L10-M10</f>
        <v>0</v>
      </c>
    </row>
    <row r="11" spans="1:18" ht="15">
      <c r="A11" s="334">
        <v>202110103</v>
      </c>
      <c r="B11" s="335" t="s">
        <v>11</v>
      </c>
      <c r="C11" s="336">
        <f>'PAC INICIAL 2020'!C25</f>
        <v>1246000</v>
      </c>
      <c r="D11" s="337"/>
      <c r="E11" s="338"/>
      <c r="F11" s="339"/>
      <c r="G11" s="347"/>
      <c r="H11" s="341">
        <f t="shared" ref="H11:H21" si="7">C11-D11+E11+F11-G11</f>
        <v>1246000</v>
      </c>
      <c r="I11" s="342">
        <f>MAYO!I11+MAYO!J11</f>
        <v>514270</v>
      </c>
      <c r="J11" s="342">
        <f>'LIBRO DE PRESUPUESTO'!J40</f>
        <v>102854</v>
      </c>
      <c r="K11" s="343">
        <f t="shared" si="1"/>
        <v>0.49528410914927767</v>
      </c>
      <c r="L11" s="344">
        <f t="shared" si="2"/>
        <v>617124</v>
      </c>
      <c r="M11" s="522">
        <f t="shared" si="4"/>
        <v>617124</v>
      </c>
      <c r="N11" s="345">
        <f t="shared" si="3"/>
        <v>628876</v>
      </c>
      <c r="O11" s="346">
        <f t="shared" ref="O11:O19" si="8">N11/H11</f>
        <v>0.50471589085072233</v>
      </c>
      <c r="P11" s="567">
        <f t="shared" ref="P11:P26" si="9">L11</f>
        <v>617124</v>
      </c>
      <c r="Q11" s="567">
        <f t="shared" si="5"/>
        <v>0</v>
      </c>
      <c r="R11" s="567">
        <f t="shared" si="6"/>
        <v>0</v>
      </c>
    </row>
    <row r="12" spans="1:18" ht="15.75" customHeight="1">
      <c r="A12" s="334">
        <v>202110104</v>
      </c>
      <c r="B12" s="335" t="s">
        <v>13</v>
      </c>
      <c r="C12" s="336">
        <f>'PAC INICIAL 2020'!C26</f>
        <v>900000</v>
      </c>
      <c r="D12" s="337"/>
      <c r="E12" s="338"/>
      <c r="F12" s="339"/>
      <c r="G12" s="347"/>
      <c r="H12" s="341">
        <f t="shared" si="7"/>
        <v>900000</v>
      </c>
      <c r="I12" s="342">
        <f>MAYO!I12+MAYO!J12</f>
        <v>314360</v>
      </c>
      <c r="J12" s="342">
        <f>'LIBRO DE PRESUPUESTO'!J56+'LIBRO DE PRESUPUESTO'!J57</f>
        <v>82228</v>
      </c>
      <c r="K12" s="343">
        <f t="shared" si="1"/>
        <v>0.44065333333333334</v>
      </c>
      <c r="L12" s="344">
        <f t="shared" si="2"/>
        <v>396588</v>
      </c>
      <c r="M12" s="522">
        <f t="shared" si="4"/>
        <v>396588</v>
      </c>
      <c r="N12" s="345">
        <f t="shared" si="3"/>
        <v>503412</v>
      </c>
      <c r="O12" s="346">
        <f t="shared" si="8"/>
        <v>0.55934666666666666</v>
      </c>
      <c r="P12" s="567">
        <f t="shared" si="9"/>
        <v>396588</v>
      </c>
      <c r="Q12" s="567">
        <f t="shared" si="5"/>
        <v>0</v>
      </c>
      <c r="R12" s="567">
        <f t="shared" si="6"/>
        <v>0</v>
      </c>
    </row>
    <row r="13" spans="1:18" ht="15">
      <c r="A13" s="334">
        <v>202110105</v>
      </c>
      <c r="B13" s="335" t="s">
        <v>15</v>
      </c>
      <c r="C13" s="336">
        <f>'PAC INICIAL 2020'!C27</f>
        <v>17000000</v>
      </c>
      <c r="D13" s="337"/>
      <c r="E13" s="338"/>
      <c r="F13" s="339"/>
      <c r="G13" s="347"/>
      <c r="H13" s="341">
        <f t="shared" si="7"/>
        <v>17000000</v>
      </c>
      <c r="I13" s="342">
        <f>MAYO!I13+MAYO!J13</f>
        <v>2229039</v>
      </c>
      <c r="J13" s="4">
        <v>0</v>
      </c>
      <c r="K13" s="343">
        <f t="shared" si="1"/>
        <v>0.13111994117647058</v>
      </c>
      <c r="L13" s="344">
        <f t="shared" si="2"/>
        <v>2229039</v>
      </c>
      <c r="M13" s="522">
        <f t="shared" si="4"/>
        <v>2229039</v>
      </c>
      <c r="N13" s="345">
        <f t="shared" si="3"/>
        <v>14770961</v>
      </c>
      <c r="O13" s="346">
        <f t="shared" si="8"/>
        <v>0.86888005882352937</v>
      </c>
      <c r="P13" s="567">
        <f t="shared" si="9"/>
        <v>2229039</v>
      </c>
      <c r="Q13" s="567">
        <f t="shared" si="5"/>
        <v>0</v>
      </c>
      <c r="R13" s="567">
        <f t="shared" si="6"/>
        <v>0</v>
      </c>
    </row>
    <row r="14" spans="1:18" ht="15">
      <c r="A14" s="334">
        <v>202110106</v>
      </c>
      <c r="B14" s="335" t="s">
        <v>17</v>
      </c>
      <c r="C14" s="336">
        <f>'PAC INICIAL 2020'!C28</f>
        <v>24000000</v>
      </c>
      <c r="D14" s="337"/>
      <c r="E14" s="338"/>
      <c r="F14" s="339"/>
      <c r="G14" s="347"/>
      <c r="H14" s="341">
        <f t="shared" si="7"/>
        <v>24000000</v>
      </c>
      <c r="I14" s="342">
        <f>MAYO!I14+MAYO!J14</f>
        <v>5147869</v>
      </c>
      <c r="J14" s="4">
        <v>0</v>
      </c>
      <c r="K14" s="343">
        <f t="shared" si="1"/>
        <v>0.21449454166666668</v>
      </c>
      <c r="L14" s="344">
        <f t="shared" si="2"/>
        <v>5147869</v>
      </c>
      <c r="M14" s="522">
        <f t="shared" si="4"/>
        <v>5147869</v>
      </c>
      <c r="N14" s="345">
        <f t="shared" si="3"/>
        <v>18852131</v>
      </c>
      <c r="O14" s="346">
        <f t="shared" si="8"/>
        <v>0.7855054583333333</v>
      </c>
      <c r="P14" s="567">
        <f t="shared" si="9"/>
        <v>5147869</v>
      </c>
      <c r="Q14" s="567">
        <f t="shared" si="5"/>
        <v>0</v>
      </c>
      <c r="R14" s="567">
        <f t="shared" si="6"/>
        <v>0</v>
      </c>
    </row>
    <row r="15" spans="1:18" ht="15">
      <c r="A15" s="334">
        <v>202110107</v>
      </c>
      <c r="B15" s="335" t="s">
        <v>19</v>
      </c>
      <c r="C15" s="336">
        <f>'PAC INICIAL 2020'!C29</f>
        <v>28000000</v>
      </c>
      <c r="D15" s="337"/>
      <c r="E15" s="338"/>
      <c r="F15" s="339"/>
      <c r="G15" s="347"/>
      <c r="H15" s="341">
        <f t="shared" si="7"/>
        <v>28000000</v>
      </c>
      <c r="I15" s="342">
        <f>MAYO!I15+MAYO!J15</f>
        <v>3410525</v>
      </c>
      <c r="J15" s="4">
        <v>0</v>
      </c>
      <c r="K15" s="343">
        <f t="shared" si="1"/>
        <v>0.12180446428571429</v>
      </c>
      <c r="L15" s="344">
        <f t="shared" si="2"/>
        <v>3410525</v>
      </c>
      <c r="M15" s="522">
        <f t="shared" si="4"/>
        <v>3410525</v>
      </c>
      <c r="N15" s="345">
        <f t="shared" si="3"/>
        <v>24589475</v>
      </c>
      <c r="O15" s="346">
        <f t="shared" si="8"/>
        <v>0.87819553571428577</v>
      </c>
      <c r="P15" s="567">
        <f t="shared" si="9"/>
        <v>3410525</v>
      </c>
      <c r="Q15" s="567">
        <f t="shared" si="5"/>
        <v>0</v>
      </c>
      <c r="R15" s="567">
        <f t="shared" si="6"/>
        <v>0</v>
      </c>
    </row>
    <row r="16" spans="1:18" ht="15">
      <c r="A16" s="334">
        <v>202110109</v>
      </c>
      <c r="B16" s="335" t="s">
        <v>20</v>
      </c>
      <c r="C16" s="336">
        <f>'PAC INICIAL 2020'!C30</f>
        <v>36000000</v>
      </c>
      <c r="D16" s="337"/>
      <c r="E16" s="338"/>
      <c r="F16" s="339"/>
      <c r="G16" s="347"/>
      <c r="H16" s="341">
        <f t="shared" si="7"/>
        <v>36000000</v>
      </c>
      <c r="I16" s="342">
        <f>MAYO!I16+MAYO!J16</f>
        <v>5079406</v>
      </c>
      <c r="J16" s="4">
        <v>0</v>
      </c>
      <c r="K16" s="343">
        <f t="shared" si="1"/>
        <v>0.1410946111111111</v>
      </c>
      <c r="L16" s="344">
        <f>J16+I16</f>
        <v>5079406</v>
      </c>
      <c r="M16" s="522">
        <f t="shared" si="4"/>
        <v>5079406</v>
      </c>
      <c r="N16" s="345">
        <f t="shared" si="3"/>
        <v>30920594</v>
      </c>
      <c r="O16" s="346">
        <f t="shared" si="8"/>
        <v>0.8589053888888889</v>
      </c>
      <c r="P16" s="567">
        <f t="shared" si="9"/>
        <v>5079406</v>
      </c>
      <c r="Q16" s="567">
        <f t="shared" si="5"/>
        <v>0</v>
      </c>
      <c r="R16" s="567">
        <f t="shared" si="6"/>
        <v>0</v>
      </c>
    </row>
    <row r="17" spans="1:18" ht="15">
      <c r="A17" s="334">
        <v>202110108</v>
      </c>
      <c r="B17" s="335" t="s">
        <v>21</v>
      </c>
      <c r="C17" s="336">
        <f>'PAC INICIAL 2020'!C31</f>
        <v>55000000</v>
      </c>
      <c r="D17" s="337"/>
      <c r="E17" s="338"/>
      <c r="F17" s="339"/>
      <c r="G17" s="347"/>
      <c r="H17" s="341">
        <f t="shared" si="7"/>
        <v>55000000</v>
      </c>
      <c r="I17" s="342">
        <f>MAYO!I17+MAYO!J17</f>
        <v>1332041</v>
      </c>
      <c r="J17" s="4">
        <v>0</v>
      </c>
      <c r="K17" s="343">
        <f t="shared" si="1"/>
        <v>2.4218927272727273E-2</v>
      </c>
      <c r="L17" s="344">
        <f t="shared" ref="L17:L59" si="10">J17+I17</f>
        <v>1332041</v>
      </c>
      <c r="M17" s="522">
        <f t="shared" si="4"/>
        <v>1332041</v>
      </c>
      <c r="N17" s="345">
        <f t="shared" si="3"/>
        <v>53667959</v>
      </c>
      <c r="O17" s="346">
        <f t="shared" si="8"/>
        <v>0.97578107272727277</v>
      </c>
      <c r="P17" s="567">
        <f t="shared" si="9"/>
        <v>1332041</v>
      </c>
      <c r="Q17" s="567">
        <f t="shared" si="5"/>
        <v>0</v>
      </c>
      <c r="R17" s="567">
        <f t="shared" si="6"/>
        <v>0</v>
      </c>
    </row>
    <row r="18" spans="1:18" s="349" customFormat="1" ht="27.75" customHeight="1">
      <c r="A18" s="327">
        <v>2021102</v>
      </c>
      <c r="B18" s="328" t="s">
        <v>23</v>
      </c>
      <c r="C18" s="329">
        <f t="shared" ref="C18:J18" si="11">SUM(C19:C21)</f>
        <v>20000000</v>
      </c>
      <c r="D18" s="329">
        <f t="shared" si="11"/>
        <v>0</v>
      </c>
      <c r="E18" s="329">
        <f t="shared" si="11"/>
        <v>0</v>
      </c>
      <c r="F18" s="329">
        <f t="shared" si="11"/>
        <v>48000000</v>
      </c>
      <c r="G18" s="329">
        <f t="shared" si="11"/>
        <v>0</v>
      </c>
      <c r="H18" s="329">
        <f t="shared" si="11"/>
        <v>68000000</v>
      </c>
      <c r="I18" s="329">
        <f t="shared" si="11"/>
        <v>60000000</v>
      </c>
      <c r="J18" s="329">
        <f t="shared" si="11"/>
        <v>8000000</v>
      </c>
      <c r="K18" s="330">
        <f t="shared" si="1"/>
        <v>1</v>
      </c>
      <c r="L18" s="348">
        <f>SUM(L19:L21)</f>
        <v>68000000</v>
      </c>
      <c r="M18" s="348">
        <f>SUM(M19:M21)</f>
        <v>68000000</v>
      </c>
      <c r="N18" s="348">
        <f>SUM(N19:N21)</f>
        <v>0</v>
      </c>
      <c r="O18" s="332">
        <f t="shared" si="8"/>
        <v>0</v>
      </c>
      <c r="P18" s="329">
        <f>SUM(P19:P21)</f>
        <v>33500000</v>
      </c>
      <c r="Q18" s="329">
        <f>SUM(Q19:Q21)</f>
        <v>34500000</v>
      </c>
      <c r="R18" s="329">
        <f>SUM(R19:R21)</f>
        <v>0</v>
      </c>
    </row>
    <row r="19" spans="1:18" ht="15">
      <c r="A19" s="334">
        <v>202110201</v>
      </c>
      <c r="B19" s="350" t="s">
        <v>25</v>
      </c>
      <c r="C19" s="336">
        <f>'PAC INICIAL 2020'!C33</f>
        <v>20000000</v>
      </c>
      <c r="D19" s="342"/>
      <c r="E19" s="338"/>
      <c r="F19" s="339">
        <f>'LIBRO DE PRESUPUESTO'!G161</f>
        <v>36000000</v>
      </c>
      <c r="G19" s="347"/>
      <c r="H19" s="341">
        <f t="shared" si="7"/>
        <v>56000000</v>
      </c>
      <c r="I19" s="342">
        <f>MAYO!I19+MAYO!J19</f>
        <v>48000000</v>
      </c>
      <c r="J19" s="342">
        <f>'LIBRO DE PRESUPUESTO'!J166</f>
        <v>8000000</v>
      </c>
      <c r="K19" s="343">
        <f t="shared" si="1"/>
        <v>1</v>
      </c>
      <c r="L19" s="344">
        <f t="shared" si="10"/>
        <v>56000000</v>
      </c>
      <c r="M19" s="522">
        <f>I19+J19</f>
        <v>56000000</v>
      </c>
      <c r="N19" s="345">
        <f t="shared" si="3"/>
        <v>0</v>
      </c>
      <c r="O19" s="346">
        <f t="shared" si="8"/>
        <v>0</v>
      </c>
      <c r="P19" s="567">
        <f>L19-8000000-14000000-8000000-2500000</f>
        <v>23500000</v>
      </c>
      <c r="Q19" s="567">
        <f t="shared" ref="Q19:Q26" si="12">M19-P19</f>
        <v>32500000</v>
      </c>
      <c r="R19" s="567">
        <f t="shared" ref="R19:R59" si="13">L19-M19</f>
        <v>0</v>
      </c>
    </row>
    <row r="20" spans="1:18" ht="1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f>'LIBRO DE PRESUPUESTO'!G176+'LIBRO DE PRESUPUESTO'!G178</f>
        <v>12000000</v>
      </c>
      <c r="G20" s="347"/>
      <c r="H20" s="341">
        <f t="shared" si="7"/>
        <v>12000000</v>
      </c>
      <c r="I20" s="342">
        <f>MAYO!I20+MAYO!J20</f>
        <v>12000000</v>
      </c>
      <c r="J20" s="342">
        <v>0</v>
      </c>
      <c r="K20" s="343">
        <v>0</v>
      </c>
      <c r="L20" s="344">
        <f t="shared" si="10"/>
        <v>12000000</v>
      </c>
      <c r="M20" s="522">
        <f t="shared" ref="M20:M61" si="14">I20+J20</f>
        <v>12000000</v>
      </c>
      <c r="N20" s="345">
        <f t="shared" si="3"/>
        <v>0</v>
      </c>
      <c r="O20" s="346">
        <v>0</v>
      </c>
      <c r="P20" s="567">
        <f>L20-2000000</f>
        <v>10000000</v>
      </c>
      <c r="Q20" s="567">
        <f t="shared" si="12"/>
        <v>2000000</v>
      </c>
      <c r="R20" s="567">
        <f t="shared" si="13"/>
        <v>0</v>
      </c>
    </row>
    <row r="21" spans="1:18" ht="1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7"/>
        <v>0</v>
      </c>
      <c r="I21" s="342">
        <f>MAYO!I21+MAYO!J21</f>
        <v>0</v>
      </c>
      <c r="J21" s="2">
        <v>0</v>
      </c>
      <c r="K21" s="343">
        <v>0</v>
      </c>
      <c r="L21" s="344">
        <f t="shared" si="10"/>
        <v>0</v>
      </c>
      <c r="M21" s="522">
        <f t="shared" si="14"/>
        <v>0</v>
      </c>
      <c r="N21" s="345">
        <f t="shared" si="3"/>
        <v>0</v>
      </c>
      <c r="O21" s="346">
        <v>0</v>
      </c>
      <c r="P21" s="567">
        <f t="shared" si="9"/>
        <v>0</v>
      </c>
      <c r="Q21" s="567">
        <f t="shared" si="12"/>
        <v>0</v>
      </c>
      <c r="R21" s="567">
        <f t="shared" si="13"/>
        <v>0</v>
      </c>
    </row>
    <row r="22" spans="1:18" ht="30">
      <c r="A22" s="327">
        <v>2021103</v>
      </c>
      <c r="B22" s="359" t="s">
        <v>69</v>
      </c>
      <c r="C22" s="360">
        <f>SUM(C23:C26)</f>
        <v>83629741</v>
      </c>
      <c r="D22" s="360">
        <f t="shared" ref="D22:J22" si="15">SUM(D23:D26)</f>
        <v>0</v>
      </c>
      <c r="E22" s="360">
        <f t="shared" si="15"/>
        <v>0</v>
      </c>
      <c r="F22" s="360">
        <f t="shared" si="15"/>
        <v>0</v>
      </c>
      <c r="G22" s="360">
        <f t="shared" si="15"/>
        <v>0</v>
      </c>
      <c r="H22" s="360">
        <f t="shared" si="15"/>
        <v>83629741</v>
      </c>
      <c r="I22" s="360">
        <f t="shared" si="15"/>
        <v>22072662</v>
      </c>
      <c r="J22" s="360">
        <f t="shared" si="15"/>
        <v>4152184</v>
      </c>
      <c r="K22" s="330">
        <f>L22/H22</f>
        <v>0.31358277194712347</v>
      </c>
      <c r="L22" s="583">
        <f>SUM(L23:L26)</f>
        <v>26224846</v>
      </c>
      <c r="M22" s="583">
        <f>SUM(M23:M26)</f>
        <v>26224846</v>
      </c>
      <c r="N22" s="583">
        <f>SUM(N23:N26)</f>
        <v>57404895</v>
      </c>
      <c r="O22" s="332">
        <f t="shared" ref="O22:O28" si="16">N22/H22</f>
        <v>0.68641722805287653</v>
      </c>
      <c r="P22" s="329">
        <f>SUM(P23:P26)</f>
        <v>26224846</v>
      </c>
      <c r="Q22" s="329">
        <f>SUM(Q23:Q26)</f>
        <v>0</v>
      </c>
      <c r="R22" s="329">
        <f>SUM(R23:R26)</f>
        <v>0</v>
      </c>
    </row>
    <row r="23" spans="1:18" ht="15">
      <c r="A23" s="334">
        <v>202110301</v>
      </c>
      <c r="B23" s="351" t="s">
        <v>71</v>
      </c>
      <c r="C23" s="336">
        <f>'PAC INICIAL 2020'!C60</f>
        <v>16000083</v>
      </c>
      <c r="D23" s="337"/>
      <c r="E23" s="338"/>
      <c r="F23" s="339"/>
      <c r="G23" s="347"/>
      <c r="H23" s="341">
        <f>C23-D23+E23+F23-G23</f>
        <v>16000083</v>
      </c>
      <c r="I23" s="342">
        <f>MAYO!I23+MAYO!J23</f>
        <v>1365627</v>
      </c>
      <c r="J23" s="5">
        <v>0</v>
      </c>
      <c r="K23" s="343">
        <f t="shared" ref="K23:K36" si="17">L23/H23</f>
        <v>8.5351244740417914E-2</v>
      </c>
      <c r="L23" s="344">
        <f>J23+I23</f>
        <v>1365627</v>
      </c>
      <c r="M23" s="522">
        <f t="shared" si="14"/>
        <v>1365627</v>
      </c>
      <c r="N23" s="345">
        <f>H23-L23</f>
        <v>14634456</v>
      </c>
      <c r="O23" s="346">
        <f t="shared" si="16"/>
        <v>0.91464875525958211</v>
      </c>
      <c r="P23" s="567">
        <f t="shared" si="9"/>
        <v>1365627</v>
      </c>
      <c r="Q23" s="567">
        <f t="shared" si="12"/>
        <v>0</v>
      </c>
      <c r="R23" s="567">
        <f t="shared" si="13"/>
        <v>0</v>
      </c>
    </row>
    <row r="24" spans="1:18" ht="15">
      <c r="A24" s="334">
        <v>202110302</v>
      </c>
      <c r="B24" s="351" t="s">
        <v>73</v>
      </c>
      <c r="C24" s="336">
        <f>'PAC INICIAL 2020'!C61</f>
        <v>46429658</v>
      </c>
      <c r="D24" s="337"/>
      <c r="E24" s="338"/>
      <c r="F24" s="339"/>
      <c r="G24" s="347"/>
      <c r="H24" s="341">
        <f>C24-D24+E24+F24-G24</f>
        <v>46429658</v>
      </c>
      <c r="I24" s="342">
        <f>MAYO!I24+MAYO!J24</f>
        <v>16100008</v>
      </c>
      <c r="J24" s="4">
        <f>'LIBRO DE PRESUPUESTO'!J577</f>
        <v>3270091</v>
      </c>
      <c r="K24" s="343">
        <f t="shared" si="17"/>
        <v>0.41719236872259535</v>
      </c>
      <c r="L24" s="344">
        <f>J24+I24</f>
        <v>19370099</v>
      </c>
      <c r="M24" s="522">
        <f t="shared" si="14"/>
        <v>19370099</v>
      </c>
      <c r="N24" s="345">
        <f>H24-L24</f>
        <v>27059559</v>
      </c>
      <c r="O24" s="346">
        <f t="shared" si="16"/>
        <v>0.58280763127740465</v>
      </c>
      <c r="P24" s="567">
        <f>L24</f>
        <v>19370099</v>
      </c>
      <c r="Q24" s="567">
        <f t="shared" si="12"/>
        <v>0</v>
      </c>
      <c r="R24" s="567">
        <f t="shared" si="13"/>
        <v>0</v>
      </c>
    </row>
    <row r="25" spans="1:18" ht="15">
      <c r="A25" s="334">
        <v>202110304</v>
      </c>
      <c r="B25" s="351" t="s">
        <v>74</v>
      </c>
      <c r="C25" s="336">
        <f>'PAC INICIAL 2020'!C62</f>
        <v>14000000</v>
      </c>
      <c r="D25" s="337"/>
      <c r="E25" s="338"/>
      <c r="F25" s="339"/>
      <c r="G25" s="347"/>
      <c r="H25" s="341">
        <f>C25-D25+E25+F25-G25</f>
        <v>14000000</v>
      </c>
      <c r="I25" s="342">
        <f>MAYO!I25+MAYO!J25</f>
        <v>4443152</v>
      </c>
      <c r="J25" s="4">
        <f>'LIBRO DE PRESUPUESTO'!J591</f>
        <v>882093</v>
      </c>
      <c r="K25" s="343">
        <f t="shared" si="17"/>
        <v>0.38037464285714284</v>
      </c>
      <c r="L25" s="344">
        <f>J25+I25</f>
        <v>5325245</v>
      </c>
      <c r="M25" s="522">
        <f t="shared" si="14"/>
        <v>5325245</v>
      </c>
      <c r="N25" s="345">
        <f>H25-L25</f>
        <v>8674755</v>
      </c>
      <c r="O25" s="346">
        <f t="shared" si="16"/>
        <v>0.61962535714285716</v>
      </c>
      <c r="P25" s="567">
        <f>L25</f>
        <v>5325245</v>
      </c>
      <c r="Q25" s="567">
        <f t="shared" si="12"/>
        <v>0</v>
      </c>
      <c r="R25" s="567">
        <f t="shared" si="13"/>
        <v>0</v>
      </c>
    </row>
    <row r="26" spans="1:18" ht="15">
      <c r="A26" s="334">
        <v>202110305</v>
      </c>
      <c r="B26" s="351" t="s">
        <v>75</v>
      </c>
      <c r="C26" s="336">
        <f>'PAC INICIAL 2020'!C63</f>
        <v>7200000</v>
      </c>
      <c r="D26" s="362"/>
      <c r="E26" s="338"/>
      <c r="F26" s="339"/>
      <c r="G26" s="363"/>
      <c r="H26" s="341">
        <f>C26-D26+E26+F26-G26</f>
        <v>7200000</v>
      </c>
      <c r="I26" s="342">
        <f>MAYO!I26+MAYO!J26</f>
        <v>163875</v>
      </c>
      <c r="J26" s="341">
        <v>0</v>
      </c>
      <c r="K26" s="343">
        <f t="shared" si="17"/>
        <v>2.2760416666666668E-2</v>
      </c>
      <c r="L26" s="344">
        <f>J26+I26</f>
        <v>163875</v>
      </c>
      <c r="M26" s="522">
        <f t="shared" si="14"/>
        <v>163875</v>
      </c>
      <c r="N26" s="345">
        <f>H26-L26</f>
        <v>7036125</v>
      </c>
      <c r="O26" s="346">
        <f t="shared" si="16"/>
        <v>0.97723958333333338</v>
      </c>
      <c r="P26" s="567">
        <f t="shared" si="9"/>
        <v>163875</v>
      </c>
      <c r="Q26" s="567">
        <f t="shared" si="12"/>
        <v>0</v>
      </c>
      <c r="R26" s="567">
        <f t="shared" si="13"/>
        <v>0</v>
      </c>
    </row>
    <row r="27" spans="1:18" ht="15.75">
      <c r="A27" s="327">
        <v>2021104</v>
      </c>
      <c r="B27" s="364" t="s">
        <v>76</v>
      </c>
      <c r="C27" s="360">
        <f t="shared" ref="C27:J27" si="18">SUM(C28:C37)</f>
        <v>177100000</v>
      </c>
      <c r="D27" s="360">
        <f t="shared" si="18"/>
        <v>0</v>
      </c>
      <c r="E27" s="360">
        <f t="shared" si="18"/>
        <v>0</v>
      </c>
      <c r="F27" s="360">
        <f t="shared" si="18"/>
        <v>0</v>
      </c>
      <c r="G27" s="360">
        <f t="shared" si="18"/>
        <v>46000000</v>
      </c>
      <c r="H27" s="360">
        <f t="shared" si="18"/>
        <v>131100000</v>
      </c>
      <c r="I27" s="329">
        <f t="shared" si="18"/>
        <v>36356413</v>
      </c>
      <c r="J27" s="329">
        <f t="shared" si="18"/>
        <v>7402015</v>
      </c>
      <c r="K27" s="330">
        <f>L27/H27</f>
        <v>0.33377900839054159</v>
      </c>
      <c r="L27" s="331">
        <f>SUM(L28:L37)</f>
        <v>43758428</v>
      </c>
      <c r="M27" s="348">
        <f>SUM(M28:M37)</f>
        <v>43758428</v>
      </c>
      <c r="N27" s="348">
        <f>SUM(N28:N37)</f>
        <v>87341572</v>
      </c>
      <c r="O27" s="332">
        <f t="shared" si="16"/>
        <v>0.66622099160945847</v>
      </c>
      <c r="P27" s="329">
        <f>SUM(P28:P37)</f>
        <v>43758428</v>
      </c>
      <c r="Q27" s="329">
        <f>SUM(Q28:Q37)</f>
        <v>0</v>
      </c>
      <c r="R27" s="329">
        <f>SUM(R28:R43)</f>
        <v>0</v>
      </c>
    </row>
    <row r="28" spans="1:18" ht="15">
      <c r="A28" s="365">
        <v>202110401</v>
      </c>
      <c r="B28" s="351" t="s">
        <v>78</v>
      </c>
      <c r="C28" s="336">
        <f>'PAC INICIAL 2020'!C65</f>
        <v>56000000</v>
      </c>
      <c r="D28" s="337"/>
      <c r="E28" s="338"/>
      <c r="F28" s="339"/>
      <c r="G28" s="347">
        <f>'LIBRO DE PRESUPUESTO'!H615</f>
        <v>46000000</v>
      </c>
      <c r="H28" s="341">
        <f t="shared" ref="H28:H37" si="19">C28-D28+E28+F28-G28</f>
        <v>10000000</v>
      </c>
      <c r="I28" s="342">
        <f>MAYO!I28+MAYO!J28</f>
        <v>102050</v>
      </c>
      <c r="J28" s="2">
        <v>0</v>
      </c>
      <c r="K28" s="343">
        <f t="shared" si="17"/>
        <v>1.0205000000000001E-2</v>
      </c>
      <c r="L28" s="344">
        <f t="shared" ref="L28:L37" si="20">J28+I28</f>
        <v>102050</v>
      </c>
      <c r="M28" s="522">
        <f t="shared" si="14"/>
        <v>102050</v>
      </c>
      <c r="N28" s="345">
        <f t="shared" ref="N28:N37" si="21">H28-L28</f>
        <v>9897950</v>
      </c>
      <c r="O28" s="346">
        <f t="shared" si="16"/>
        <v>0.98979499999999998</v>
      </c>
      <c r="P28" s="344">
        <f>L28</f>
        <v>102050</v>
      </c>
      <c r="Q28" s="567">
        <f>M28-P28</f>
        <v>0</v>
      </c>
      <c r="R28" s="567">
        <f>L28-M28</f>
        <v>0</v>
      </c>
    </row>
    <row r="29" spans="1:18" ht="15">
      <c r="A29" s="334">
        <v>202110402</v>
      </c>
      <c r="B29" s="351" t="s">
        <v>73</v>
      </c>
      <c r="C29" s="336">
        <f>'PAC INICIAL 2020'!C66</f>
        <v>0</v>
      </c>
      <c r="D29" s="337"/>
      <c r="E29" s="338"/>
      <c r="F29" s="339"/>
      <c r="G29" s="347"/>
      <c r="H29" s="341">
        <f t="shared" si="19"/>
        <v>0</v>
      </c>
      <c r="I29" s="342">
        <f>MAYO!I29+MAYO!J29</f>
        <v>0</v>
      </c>
      <c r="J29" s="342">
        <v>0</v>
      </c>
      <c r="K29" s="343">
        <v>0</v>
      </c>
      <c r="L29" s="353">
        <f t="shared" si="20"/>
        <v>0</v>
      </c>
      <c r="M29" s="522">
        <f t="shared" si="14"/>
        <v>0</v>
      </c>
      <c r="N29" s="345">
        <f t="shared" si="21"/>
        <v>0</v>
      </c>
      <c r="O29" s="346">
        <v>0</v>
      </c>
      <c r="P29" s="344">
        <f>L29</f>
        <v>0</v>
      </c>
      <c r="Q29" s="567">
        <f t="shared" ref="Q29:Q37" si="22">M29-P29</f>
        <v>0</v>
      </c>
      <c r="R29" s="567">
        <f t="shared" si="13"/>
        <v>0</v>
      </c>
    </row>
    <row r="30" spans="1:18" ht="15">
      <c r="A30" s="334">
        <v>202110403</v>
      </c>
      <c r="B30" s="351" t="s">
        <v>81</v>
      </c>
      <c r="C30" s="336">
        <f>'PAC INICIAL 2020'!C67</f>
        <v>3900000</v>
      </c>
      <c r="D30" s="337"/>
      <c r="E30" s="338"/>
      <c r="F30" s="339"/>
      <c r="G30" s="347"/>
      <c r="H30" s="341">
        <f t="shared" si="19"/>
        <v>3900000</v>
      </c>
      <c r="I30" s="342">
        <f>MAYO!I30+MAYO!J30</f>
        <v>983000</v>
      </c>
      <c r="J30" s="4">
        <f>'LIBRO DE PRESUPUESTO'!J637</f>
        <v>201200</v>
      </c>
      <c r="K30" s="343">
        <f t="shared" si="17"/>
        <v>0.30364102564102563</v>
      </c>
      <c r="L30" s="344">
        <f t="shared" si="20"/>
        <v>1184200</v>
      </c>
      <c r="M30" s="522">
        <f t="shared" si="14"/>
        <v>1184200</v>
      </c>
      <c r="N30" s="345">
        <f t="shared" si="21"/>
        <v>2715800</v>
      </c>
      <c r="O30" s="346">
        <f t="shared" ref="O30:O36" si="23">N30/H30</f>
        <v>0.69635897435897431</v>
      </c>
      <c r="P30" s="344">
        <f t="shared" ref="P30:P36" si="24">L30</f>
        <v>1184200</v>
      </c>
      <c r="Q30" s="567">
        <f t="shared" si="22"/>
        <v>0</v>
      </c>
      <c r="R30" s="567">
        <f t="shared" si="13"/>
        <v>0</v>
      </c>
    </row>
    <row r="31" spans="1:18" ht="15">
      <c r="A31" s="334">
        <v>202110404</v>
      </c>
      <c r="B31" s="351" t="s">
        <v>74</v>
      </c>
      <c r="C31" s="336">
        <f>'PAC INICIAL 2020'!C68</f>
        <v>52000000</v>
      </c>
      <c r="D31" s="337"/>
      <c r="E31" s="338"/>
      <c r="F31" s="339"/>
      <c r="G31" s="347"/>
      <c r="H31" s="341">
        <f t="shared" si="19"/>
        <v>52000000</v>
      </c>
      <c r="I31" s="342">
        <f>MAYO!I31+MAYO!J31</f>
        <v>18350763</v>
      </c>
      <c r="J31" s="366">
        <f>'LIBRO DE PRESUPUESTO'!J653</f>
        <v>3735915</v>
      </c>
      <c r="K31" s="343">
        <f t="shared" si="17"/>
        <v>0.42474380769230768</v>
      </c>
      <c r="L31" s="344">
        <f t="shared" si="20"/>
        <v>22086678</v>
      </c>
      <c r="M31" s="522">
        <f t="shared" si="14"/>
        <v>22086678</v>
      </c>
      <c r="N31" s="345">
        <f t="shared" si="21"/>
        <v>29913322</v>
      </c>
      <c r="O31" s="346">
        <f t="shared" si="23"/>
        <v>0.57525619230769232</v>
      </c>
      <c r="P31" s="344">
        <f t="shared" si="24"/>
        <v>22086678</v>
      </c>
      <c r="Q31" s="567">
        <f t="shared" si="22"/>
        <v>0</v>
      </c>
      <c r="R31" s="567">
        <f t="shared" si="13"/>
        <v>0</v>
      </c>
    </row>
    <row r="32" spans="1:18" ht="15">
      <c r="A32" s="334">
        <v>202110405</v>
      </c>
      <c r="B32" s="351" t="s">
        <v>84</v>
      </c>
      <c r="C32" s="336">
        <f>'PAC INICIAL 2020'!C69</f>
        <v>27000000</v>
      </c>
      <c r="D32" s="337"/>
      <c r="E32" s="338"/>
      <c r="F32" s="339"/>
      <c r="G32" s="347"/>
      <c r="H32" s="341">
        <f t="shared" si="19"/>
        <v>27000000</v>
      </c>
      <c r="I32" s="342">
        <f>MAYO!I32+MAYO!J32</f>
        <v>7517700</v>
      </c>
      <c r="J32" s="4">
        <f>'LIBRO DE PRESUPUESTO'!J669</f>
        <v>1539500</v>
      </c>
      <c r="K32" s="343">
        <f t="shared" si="17"/>
        <v>0.33545185185185183</v>
      </c>
      <c r="L32" s="344">
        <f t="shared" si="20"/>
        <v>9057200</v>
      </c>
      <c r="M32" s="522">
        <f t="shared" si="14"/>
        <v>9057200</v>
      </c>
      <c r="N32" s="345">
        <f t="shared" si="21"/>
        <v>17942800</v>
      </c>
      <c r="O32" s="346">
        <f t="shared" si="23"/>
        <v>0.66454814814814811</v>
      </c>
      <c r="P32" s="344">
        <f t="shared" si="24"/>
        <v>9057200</v>
      </c>
      <c r="Q32" s="567">
        <f t="shared" si="22"/>
        <v>0</v>
      </c>
      <c r="R32" s="567">
        <f t="shared" si="13"/>
        <v>0</v>
      </c>
    </row>
    <row r="33" spans="1:18" ht="15">
      <c r="A33" s="334">
        <v>202110406</v>
      </c>
      <c r="B33" s="351" t="s">
        <v>86</v>
      </c>
      <c r="C33" s="336">
        <f>'PAC INICIAL 2020'!C70</f>
        <v>23000000</v>
      </c>
      <c r="D33" s="337"/>
      <c r="E33" s="338"/>
      <c r="F33" s="339"/>
      <c r="G33" s="347"/>
      <c r="H33" s="341">
        <f t="shared" si="19"/>
        <v>23000000</v>
      </c>
      <c r="I33" s="342">
        <f>MAYO!I33+MAYO!J33</f>
        <v>5637700</v>
      </c>
      <c r="J33" s="4">
        <f>'LIBRO DE PRESUPUESTO'!J685</f>
        <v>1154500</v>
      </c>
      <c r="K33" s="343">
        <f t="shared" si="17"/>
        <v>0.29531304347826087</v>
      </c>
      <c r="L33" s="344">
        <f t="shared" si="20"/>
        <v>6792200</v>
      </c>
      <c r="M33" s="522">
        <f t="shared" si="14"/>
        <v>6792200</v>
      </c>
      <c r="N33" s="345">
        <f t="shared" si="21"/>
        <v>16207800</v>
      </c>
      <c r="O33" s="346">
        <f t="shared" si="23"/>
        <v>0.70468695652173918</v>
      </c>
      <c r="P33" s="344">
        <f t="shared" si="24"/>
        <v>6792200</v>
      </c>
      <c r="Q33" s="567">
        <f t="shared" si="22"/>
        <v>0</v>
      </c>
      <c r="R33" s="567">
        <f t="shared" si="13"/>
        <v>0</v>
      </c>
    </row>
    <row r="34" spans="1:18" ht="15">
      <c r="A34" s="334">
        <v>202110407</v>
      </c>
      <c r="B34" s="351" t="s">
        <v>88</v>
      </c>
      <c r="C34" s="336">
        <f>'PAC INICIAL 2020'!C71</f>
        <v>4000000</v>
      </c>
      <c r="D34" s="337"/>
      <c r="E34" s="338"/>
      <c r="F34" s="339"/>
      <c r="G34" s="347"/>
      <c r="H34" s="341">
        <f t="shared" si="19"/>
        <v>4000000</v>
      </c>
      <c r="I34" s="342">
        <f>MAYO!I34+MAYO!J34</f>
        <v>942200</v>
      </c>
      <c r="J34" s="4">
        <f>'LIBRO DE PRESUPUESTO'!J701</f>
        <v>192900</v>
      </c>
      <c r="K34" s="343">
        <f t="shared" si="17"/>
        <v>0.283775</v>
      </c>
      <c r="L34" s="344">
        <f t="shared" si="20"/>
        <v>1135100</v>
      </c>
      <c r="M34" s="522">
        <f t="shared" si="14"/>
        <v>1135100</v>
      </c>
      <c r="N34" s="345">
        <f t="shared" si="21"/>
        <v>2864900</v>
      </c>
      <c r="O34" s="346">
        <f t="shared" si="23"/>
        <v>0.716225</v>
      </c>
      <c r="P34" s="344">
        <f t="shared" si="24"/>
        <v>1135100</v>
      </c>
      <c r="Q34" s="567">
        <f t="shared" si="22"/>
        <v>0</v>
      </c>
      <c r="R34" s="567">
        <f t="shared" si="13"/>
        <v>0</v>
      </c>
    </row>
    <row r="35" spans="1:18" ht="15">
      <c r="A35" s="334">
        <v>202110408</v>
      </c>
      <c r="B35" s="351" t="s">
        <v>90</v>
      </c>
      <c r="C35" s="336">
        <f>'PAC INICIAL 2020'!C72</f>
        <v>4000000</v>
      </c>
      <c r="D35" s="337"/>
      <c r="E35" s="338"/>
      <c r="F35" s="339"/>
      <c r="G35" s="347"/>
      <c r="H35" s="341">
        <f t="shared" si="19"/>
        <v>4000000</v>
      </c>
      <c r="I35" s="342">
        <f>MAYO!I35+MAYO!J35</f>
        <v>942200</v>
      </c>
      <c r="J35" s="4">
        <f>'LIBRO DE PRESUPUESTO'!J716</f>
        <v>192900</v>
      </c>
      <c r="K35" s="343">
        <f t="shared" si="17"/>
        <v>0.283775</v>
      </c>
      <c r="L35" s="344">
        <f t="shared" si="20"/>
        <v>1135100</v>
      </c>
      <c r="M35" s="522">
        <f t="shared" si="14"/>
        <v>1135100</v>
      </c>
      <c r="N35" s="345">
        <f t="shared" si="21"/>
        <v>2864900</v>
      </c>
      <c r="O35" s="346">
        <f t="shared" si="23"/>
        <v>0.716225</v>
      </c>
      <c r="P35" s="344">
        <f t="shared" si="24"/>
        <v>1135100</v>
      </c>
      <c r="Q35" s="567">
        <f t="shared" si="22"/>
        <v>0</v>
      </c>
      <c r="R35" s="567">
        <f t="shared" si="13"/>
        <v>0</v>
      </c>
    </row>
    <row r="36" spans="1:18" ht="15">
      <c r="A36" s="334">
        <v>202110409</v>
      </c>
      <c r="B36" s="351" t="s">
        <v>92</v>
      </c>
      <c r="C36" s="336">
        <f>'PAC INICIAL 2020'!C73</f>
        <v>7200000</v>
      </c>
      <c r="D36" s="337"/>
      <c r="E36" s="338"/>
      <c r="F36" s="339"/>
      <c r="G36" s="347"/>
      <c r="H36" s="341">
        <f t="shared" si="19"/>
        <v>7200000</v>
      </c>
      <c r="I36" s="342">
        <f>MAYO!I36+MAYO!J36</f>
        <v>1880800</v>
      </c>
      <c r="J36" s="4">
        <f>'LIBRO DE PRESUPUESTO'!J736</f>
        <v>385100</v>
      </c>
      <c r="K36" s="343">
        <f t="shared" si="17"/>
        <v>0.31470833333333331</v>
      </c>
      <c r="L36" s="344">
        <f t="shared" si="20"/>
        <v>2265900</v>
      </c>
      <c r="M36" s="522">
        <f t="shared" si="14"/>
        <v>2265900</v>
      </c>
      <c r="N36" s="345">
        <f t="shared" si="21"/>
        <v>4934100</v>
      </c>
      <c r="O36" s="346">
        <f t="shared" si="23"/>
        <v>0.68529166666666663</v>
      </c>
      <c r="P36" s="344">
        <f t="shared" si="24"/>
        <v>2265900</v>
      </c>
      <c r="Q36" s="567">
        <f t="shared" si="22"/>
        <v>0</v>
      </c>
      <c r="R36" s="567">
        <f t="shared" si="13"/>
        <v>0</v>
      </c>
    </row>
    <row r="37" spans="1:18" ht="15">
      <c r="A37" s="334">
        <v>202110410</v>
      </c>
      <c r="B37" s="351" t="s">
        <v>94</v>
      </c>
      <c r="C37" s="336">
        <f>'PAC INICIAL 2020'!C74</f>
        <v>0</v>
      </c>
      <c r="D37" s="342"/>
      <c r="E37" s="338"/>
      <c r="F37" s="339"/>
      <c r="G37" s="347"/>
      <c r="H37" s="341">
        <f t="shared" si="19"/>
        <v>0</v>
      </c>
      <c r="I37" s="342">
        <f>MAYO!I37+MAYO!J37</f>
        <v>0</v>
      </c>
      <c r="J37" s="342">
        <v>0</v>
      </c>
      <c r="K37" s="343">
        <v>0</v>
      </c>
      <c r="L37" s="353">
        <f t="shared" si="20"/>
        <v>0</v>
      </c>
      <c r="M37" s="522">
        <f t="shared" si="14"/>
        <v>0</v>
      </c>
      <c r="N37" s="345">
        <f t="shared" si="21"/>
        <v>0</v>
      </c>
      <c r="O37" s="346">
        <v>0</v>
      </c>
      <c r="P37" s="344">
        <f>L37</f>
        <v>0</v>
      </c>
      <c r="Q37" s="567">
        <f t="shared" si="22"/>
        <v>0</v>
      </c>
      <c r="R37" s="567">
        <f t="shared" si="13"/>
        <v>0</v>
      </c>
    </row>
    <row r="38" spans="1:18" s="349" customFormat="1" ht="27.75" customHeight="1">
      <c r="A38" s="327">
        <v>2021201</v>
      </c>
      <c r="B38" s="352" t="s">
        <v>31</v>
      </c>
      <c r="C38" s="329">
        <f t="shared" ref="C38:J38" si="25">SUM(C39:C42)</f>
        <v>21300000</v>
      </c>
      <c r="D38" s="329">
        <f t="shared" si="25"/>
        <v>0</v>
      </c>
      <c r="E38" s="329">
        <f t="shared" si="25"/>
        <v>0</v>
      </c>
      <c r="F38" s="329">
        <f t="shared" si="25"/>
        <v>0</v>
      </c>
      <c r="G38" s="329">
        <f t="shared" si="25"/>
        <v>0</v>
      </c>
      <c r="H38" s="329">
        <f t="shared" si="25"/>
        <v>21300000</v>
      </c>
      <c r="I38" s="329">
        <f t="shared" si="25"/>
        <v>7545200</v>
      </c>
      <c r="J38" s="329">
        <f t="shared" si="25"/>
        <v>5166200</v>
      </c>
      <c r="K38" s="330">
        <f>L38/H38</f>
        <v>0.5967793427230047</v>
      </c>
      <c r="L38" s="348">
        <f>SUM(L39:L42)</f>
        <v>12711400</v>
      </c>
      <c r="M38" s="348">
        <f>SUM(M39:M42)</f>
        <v>12711400</v>
      </c>
      <c r="N38" s="329">
        <f>SUM(N39:N42)</f>
        <v>8588600</v>
      </c>
      <c r="O38" s="332">
        <f>N38/H38</f>
        <v>0.4032206572769953</v>
      </c>
      <c r="P38" s="329">
        <f>SUM(P39:P42)</f>
        <v>12711400</v>
      </c>
      <c r="Q38" s="329">
        <f>SUM(Q39:Q42)</f>
        <v>0</v>
      </c>
      <c r="R38" s="329">
        <f t="shared" si="13"/>
        <v>0</v>
      </c>
    </row>
    <row r="39" spans="1:18" ht="15">
      <c r="A39" s="334">
        <v>202120101</v>
      </c>
      <c r="B39" s="351" t="s">
        <v>33</v>
      </c>
      <c r="C39" s="336">
        <f>'PAC INICIAL 2020'!C38</f>
        <v>6000000</v>
      </c>
      <c r="D39" s="342"/>
      <c r="E39" s="338"/>
      <c r="F39" s="339"/>
      <c r="G39" s="347"/>
      <c r="H39" s="341">
        <f>C39-D39+E39+F39-G39</f>
        <v>6000000</v>
      </c>
      <c r="I39" s="342">
        <f>MAYO!I39+MAYO!J39</f>
        <v>3600000</v>
      </c>
      <c r="J39" s="2">
        <v>0</v>
      </c>
      <c r="K39" s="343">
        <v>0</v>
      </c>
      <c r="L39" s="344">
        <f t="shared" si="10"/>
        <v>3600000</v>
      </c>
      <c r="M39" s="522">
        <f t="shared" si="14"/>
        <v>3600000</v>
      </c>
      <c r="N39" s="345">
        <f t="shared" si="3"/>
        <v>2400000</v>
      </c>
      <c r="O39" s="346">
        <v>0</v>
      </c>
      <c r="P39" s="344">
        <f>L39</f>
        <v>3600000</v>
      </c>
      <c r="Q39" s="567">
        <f>M39-P39</f>
        <v>0</v>
      </c>
      <c r="R39" s="567">
        <f t="shared" si="13"/>
        <v>0</v>
      </c>
    </row>
    <row r="40" spans="1:18" ht="15">
      <c r="A40" s="334">
        <v>202120102</v>
      </c>
      <c r="B40" s="354" t="s">
        <v>35</v>
      </c>
      <c r="C40" s="336">
        <f>'PAC INICIAL 2020'!C39</f>
        <v>14000000</v>
      </c>
      <c r="D40" s="342"/>
      <c r="E40" s="338"/>
      <c r="F40" s="339"/>
      <c r="G40" s="347"/>
      <c r="H40" s="341">
        <f>C40-D40+E40+F40-G40</f>
        <v>14000000</v>
      </c>
      <c r="I40" s="342">
        <f>MAYO!I40+MAYO!J40</f>
        <v>3945200</v>
      </c>
      <c r="J40" s="342">
        <f>'LIBRO DE PRESUPUESTO'!J204+'LIBRO DE PRESUPUESTO'!J203</f>
        <v>5166200</v>
      </c>
      <c r="K40" s="343">
        <f>L40/H40</f>
        <v>0.65081428571428568</v>
      </c>
      <c r="L40" s="344">
        <f t="shared" si="10"/>
        <v>9111400</v>
      </c>
      <c r="M40" s="522">
        <f t="shared" si="14"/>
        <v>9111400</v>
      </c>
      <c r="N40" s="345">
        <f t="shared" si="3"/>
        <v>4888600</v>
      </c>
      <c r="O40" s="355">
        <f>N40/H40</f>
        <v>0.34918571428571427</v>
      </c>
      <c r="P40" s="344">
        <f>L40</f>
        <v>9111400</v>
      </c>
      <c r="Q40" s="567">
        <f t="shared" ref="Q40:Q61" si="26">M40-P40</f>
        <v>0</v>
      </c>
      <c r="R40" s="567">
        <f t="shared" si="13"/>
        <v>0</v>
      </c>
    </row>
    <row r="41" spans="1:18" ht="15">
      <c r="A41" s="334">
        <v>202120104</v>
      </c>
      <c r="B41" s="351" t="s">
        <v>37</v>
      </c>
      <c r="C41" s="336">
        <f>'PAC INICIAL 2020'!C40</f>
        <v>1300000</v>
      </c>
      <c r="D41" s="342"/>
      <c r="E41" s="338"/>
      <c r="F41" s="339"/>
      <c r="G41" s="356"/>
      <c r="H41" s="341">
        <f>C41-D41+E41+F41-G41</f>
        <v>1300000</v>
      </c>
      <c r="I41" s="342">
        <f>MAYO!I41+MAYO!J41</f>
        <v>0</v>
      </c>
      <c r="J41" s="342">
        <v>0</v>
      </c>
      <c r="K41" s="343">
        <f>L41/H41</f>
        <v>0</v>
      </c>
      <c r="L41" s="344">
        <f t="shared" si="10"/>
        <v>0</v>
      </c>
      <c r="M41" s="522">
        <f t="shared" si="14"/>
        <v>0</v>
      </c>
      <c r="N41" s="345">
        <f t="shared" si="3"/>
        <v>1300000</v>
      </c>
      <c r="O41" s="355">
        <f>N41/H41</f>
        <v>1</v>
      </c>
      <c r="P41" s="344">
        <f>L41</f>
        <v>0</v>
      </c>
      <c r="Q41" s="567">
        <f t="shared" si="26"/>
        <v>0</v>
      </c>
      <c r="R41" s="567">
        <f t="shared" si="13"/>
        <v>0</v>
      </c>
    </row>
    <row r="42" spans="1:18" ht="15">
      <c r="A42" s="334">
        <v>202120105</v>
      </c>
      <c r="B42" s="351" t="s">
        <v>39</v>
      </c>
      <c r="C42" s="336">
        <f>'PAC INICIAL 2020'!C41</f>
        <v>0</v>
      </c>
      <c r="D42" s="342"/>
      <c r="E42" s="338"/>
      <c r="F42" s="339"/>
      <c r="G42" s="347"/>
      <c r="H42" s="341">
        <f>C42-D42+E42+F42-G42</f>
        <v>0</v>
      </c>
      <c r="I42" s="342">
        <f>MAYO!I42+MAYO!J42</f>
        <v>0</v>
      </c>
      <c r="J42" s="342">
        <v>0</v>
      </c>
      <c r="K42" s="343">
        <v>0</v>
      </c>
      <c r="L42" s="353">
        <f t="shared" si="10"/>
        <v>0</v>
      </c>
      <c r="M42" s="522">
        <f t="shared" si="14"/>
        <v>0</v>
      </c>
      <c r="N42" s="345">
        <f t="shared" si="3"/>
        <v>0</v>
      </c>
      <c r="O42" s="355">
        <v>0</v>
      </c>
      <c r="P42" s="344">
        <f>L42</f>
        <v>0</v>
      </c>
      <c r="Q42" s="567">
        <f t="shared" si="26"/>
        <v>0</v>
      </c>
      <c r="R42" s="567">
        <f t="shared" si="13"/>
        <v>0</v>
      </c>
    </row>
    <row r="43" spans="1:18" s="349" customFormat="1" ht="27.75" customHeight="1">
      <c r="A43" s="327">
        <v>2021202</v>
      </c>
      <c r="B43" s="352" t="s">
        <v>41</v>
      </c>
      <c r="C43" s="329">
        <f t="shared" ref="C43:J43" si="27">SUM(C44:C59)</f>
        <v>127719000</v>
      </c>
      <c r="D43" s="329">
        <f t="shared" si="27"/>
        <v>0</v>
      </c>
      <c r="E43" s="329">
        <f t="shared" si="27"/>
        <v>0</v>
      </c>
      <c r="F43" s="329">
        <f t="shared" si="27"/>
        <v>13500000</v>
      </c>
      <c r="G43" s="329">
        <f t="shared" si="27"/>
        <v>0</v>
      </c>
      <c r="H43" s="329">
        <f t="shared" si="27"/>
        <v>141219000</v>
      </c>
      <c r="I43" s="329">
        <f t="shared" si="27"/>
        <v>27988317</v>
      </c>
      <c r="J43" s="329">
        <f t="shared" si="27"/>
        <v>7703000</v>
      </c>
      <c r="K43" s="330">
        <f t="shared" ref="K43:K50" si="28">L43/H43</f>
        <v>0.25273735828748256</v>
      </c>
      <c r="L43" s="331">
        <f>SUM(L44:L59)</f>
        <v>35691317</v>
      </c>
      <c r="M43" s="331">
        <f>SUM(M44:M59)</f>
        <v>35691317</v>
      </c>
      <c r="N43" s="348">
        <f>SUM(N44:N59)</f>
        <v>105527683</v>
      </c>
      <c r="O43" s="332">
        <f t="shared" ref="O43:O48" si="29">N43/H43</f>
        <v>0.74726264171251744</v>
      </c>
      <c r="P43" s="348">
        <f>SUM(P44:P59)</f>
        <v>35691317</v>
      </c>
      <c r="Q43" s="348">
        <f>SUM(Q44:Q59)</f>
        <v>0</v>
      </c>
      <c r="R43" s="348">
        <f t="shared" si="13"/>
        <v>0</v>
      </c>
    </row>
    <row r="44" spans="1:18" ht="15.75">
      <c r="A44" s="334">
        <v>202120201</v>
      </c>
      <c r="B44" s="351" t="s">
        <v>43</v>
      </c>
      <c r="C44" s="336">
        <f>'PAC INICIAL 2020'!C43</f>
        <v>9000000</v>
      </c>
      <c r="D44" s="342"/>
      <c r="E44" s="338"/>
      <c r="F44" s="339">
        <f>'LIBRO DE PRESUPUESTO'!G227</f>
        <v>10000000</v>
      </c>
      <c r="G44" s="347"/>
      <c r="H44" s="341">
        <f t="shared" ref="H44:H58" si="30">C44-D44+E44+F44-G44</f>
        <v>19000000</v>
      </c>
      <c r="I44" s="342">
        <f>MAYO!I44+MAYO!J44</f>
        <v>3922000</v>
      </c>
      <c r="J44" s="342">
        <f>'LIBRO DE PRESUPUESTO'!J231</f>
        <v>1269500</v>
      </c>
      <c r="K44" s="343">
        <f t="shared" si="28"/>
        <v>0.27323684210526317</v>
      </c>
      <c r="L44" s="344">
        <f t="shared" si="10"/>
        <v>5191500</v>
      </c>
      <c r="M44" s="584">
        <f t="shared" si="14"/>
        <v>5191500</v>
      </c>
      <c r="N44" s="580">
        <f t="shared" si="3"/>
        <v>13808500</v>
      </c>
      <c r="O44" s="581">
        <f t="shared" si="29"/>
        <v>0.72676315789473689</v>
      </c>
      <c r="P44" s="344">
        <f>L44</f>
        <v>5191500</v>
      </c>
      <c r="Q44" s="567">
        <f t="shared" si="26"/>
        <v>0</v>
      </c>
      <c r="R44" s="582">
        <f>SUM(R45:R48)</f>
        <v>0</v>
      </c>
    </row>
    <row r="45" spans="1:18" ht="15">
      <c r="A45" s="334">
        <v>202120202</v>
      </c>
      <c r="B45" s="351" t="s">
        <v>44</v>
      </c>
      <c r="C45" s="336">
        <f>'PAC INICIAL 2020'!C44</f>
        <v>52500000</v>
      </c>
      <c r="D45" s="342"/>
      <c r="E45" s="338"/>
      <c r="F45" s="339"/>
      <c r="G45" s="347"/>
      <c r="H45" s="341">
        <f t="shared" si="30"/>
        <v>52500000</v>
      </c>
      <c r="I45" s="342">
        <f>MAYO!I45+MAYO!J45</f>
        <v>13413870</v>
      </c>
      <c r="J45" s="342">
        <f>'LIBRO DE PRESUPUESTO'!J270+'LIBRO DE PRESUPUESTO'!J271+'LIBRO DE PRESUPUESTO'!J272</f>
        <v>4200250</v>
      </c>
      <c r="K45" s="343">
        <f t="shared" si="28"/>
        <v>0.33550704761904759</v>
      </c>
      <c r="L45" s="344">
        <f t="shared" si="10"/>
        <v>17614120</v>
      </c>
      <c r="M45" s="522">
        <f t="shared" si="14"/>
        <v>17614120</v>
      </c>
      <c r="N45" s="345">
        <f t="shared" si="3"/>
        <v>34885880</v>
      </c>
      <c r="O45" s="355">
        <f t="shared" si="29"/>
        <v>0.66449295238095241</v>
      </c>
      <c r="P45" s="344">
        <f t="shared" ref="P45:P61" si="31">L45</f>
        <v>17614120</v>
      </c>
      <c r="Q45" s="567">
        <f t="shared" si="26"/>
        <v>0</v>
      </c>
      <c r="R45" s="567">
        <f t="shared" si="13"/>
        <v>0</v>
      </c>
    </row>
    <row r="46" spans="1:18" ht="15">
      <c r="A46" s="334">
        <v>202120203</v>
      </c>
      <c r="B46" s="351" t="s">
        <v>46</v>
      </c>
      <c r="C46" s="336">
        <f>'PAC INICIAL 2020'!C45</f>
        <v>2000000</v>
      </c>
      <c r="D46" s="342"/>
      <c r="E46" s="338"/>
      <c r="F46" s="339"/>
      <c r="G46" s="347"/>
      <c r="H46" s="341">
        <f t="shared" si="30"/>
        <v>2000000</v>
      </c>
      <c r="I46" s="342">
        <f>MAYO!I46+MAYO!J46</f>
        <v>670600</v>
      </c>
      <c r="J46" s="4">
        <f>'LIBRO DE PRESUPUESTO'!J385</f>
        <v>25000</v>
      </c>
      <c r="K46" s="343">
        <f t="shared" si="28"/>
        <v>0.3478</v>
      </c>
      <c r="L46" s="344">
        <f t="shared" si="10"/>
        <v>695600</v>
      </c>
      <c r="M46" s="522">
        <f t="shared" si="14"/>
        <v>695600</v>
      </c>
      <c r="N46" s="345">
        <f t="shared" si="3"/>
        <v>1304400</v>
      </c>
      <c r="O46" s="355">
        <f t="shared" si="29"/>
        <v>0.6522</v>
      </c>
      <c r="P46" s="344">
        <f t="shared" si="31"/>
        <v>695600</v>
      </c>
      <c r="Q46" s="567">
        <f t="shared" si="26"/>
        <v>0</v>
      </c>
      <c r="R46" s="567">
        <f t="shared" si="13"/>
        <v>0</v>
      </c>
    </row>
    <row r="47" spans="1:18" ht="15">
      <c r="A47" s="334">
        <v>202120204</v>
      </c>
      <c r="B47" s="351" t="s">
        <v>48</v>
      </c>
      <c r="C47" s="336">
        <f>'PAC INICIAL 2020'!C46</f>
        <v>11619000</v>
      </c>
      <c r="D47" s="342"/>
      <c r="E47" s="338"/>
      <c r="F47" s="339"/>
      <c r="G47" s="347"/>
      <c r="H47" s="341">
        <f t="shared" si="30"/>
        <v>11619000</v>
      </c>
      <c r="I47" s="342">
        <f>MAYO!I47+MAYO!J47</f>
        <v>3818100</v>
      </c>
      <c r="J47" s="4">
        <f>'LIBRO DE PRESUPUESTO'!J407</f>
        <v>768000</v>
      </c>
      <c r="K47" s="343">
        <f t="shared" si="28"/>
        <v>0.39470694552026853</v>
      </c>
      <c r="L47" s="344">
        <f t="shared" si="10"/>
        <v>4586100</v>
      </c>
      <c r="M47" s="522">
        <f t="shared" si="14"/>
        <v>4586100</v>
      </c>
      <c r="N47" s="345">
        <f t="shared" si="3"/>
        <v>7032900</v>
      </c>
      <c r="O47" s="346">
        <f t="shared" si="29"/>
        <v>0.60529305447973147</v>
      </c>
      <c r="P47" s="344">
        <f t="shared" si="31"/>
        <v>4586100</v>
      </c>
      <c r="Q47" s="567">
        <f t="shared" si="26"/>
        <v>0</v>
      </c>
      <c r="R47" s="567">
        <f t="shared" si="13"/>
        <v>0</v>
      </c>
    </row>
    <row r="48" spans="1:18" ht="15">
      <c r="A48" s="334">
        <v>202120205</v>
      </c>
      <c r="B48" s="351" t="s">
        <v>50</v>
      </c>
      <c r="C48" s="336">
        <f>'PAC INICIAL 2020'!C47</f>
        <v>8000000</v>
      </c>
      <c r="D48" s="342"/>
      <c r="E48" s="338"/>
      <c r="F48" s="339"/>
      <c r="G48" s="347"/>
      <c r="H48" s="341">
        <f t="shared" si="30"/>
        <v>8000000</v>
      </c>
      <c r="I48" s="342">
        <f>MAYO!I48+MAYO!J48</f>
        <v>1608777</v>
      </c>
      <c r="J48" s="4">
        <f>'LIBRO DE PRESUPUESTO'!J427+'LIBRO DE PRESUPUESTO'!J428</f>
        <v>320217</v>
      </c>
      <c r="K48" s="343">
        <f t="shared" si="28"/>
        <v>0.24112425000000001</v>
      </c>
      <c r="L48" s="344">
        <f t="shared" si="10"/>
        <v>1928994</v>
      </c>
      <c r="M48" s="522">
        <f t="shared" si="14"/>
        <v>1928994</v>
      </c>
      <c r="N48" s="345">
        <f t="shared" si="3"/>
        <v>6071006</v>
      </c>
      <c r="O48" s="346">
        <f t="shared" si="29"/>
        <v>0.75887574999999996</v>
      </c>
      <c r="P48" s="344">
        <f t="shared" si="31"/>
        <v>1928994</v>
      </c>
      <c r="Q48" s="567">
        <f t="shared" si="26"/>
        <v>0</v>
      </c>
      <c r="R48" s="567">
        <f t="shared" si="13"/>
        <v>0</v>
      </c>
    </row>
    <row r="49" spans="1:18" ht="15.75">
      <c r="A49" s="334">
        <v>202120206</v>
      </c>
      <c r="B49" s="351" t="s">
        <v>52</v>
      </c>
      <c r="C49" s="336">
        <f>'PAC INICIAL 2020'!C48</f>
        <v>2500000</v>
      </c>
      <c r="D49" s="342"/>
      <c r="E49" s="338"/>
      <c r="F49" s="339"/>
      <c r="G49" s="347"/>
      <c r="H49" s="341">
        <f t="shared" si="30"/>
        <v>2500000</v>
      </c>
      <c r="I49" s="342">
        <f>MAYO!I49+MAYO!J49</f>
        <v>458105</v>
      </c>
      <c r="J49" s="2">
        <f>'LIBRO DE PRESUPUESTO'!J464+'LIBRO DE PRESUPUESTO'!J465</f>
        <v>105365</v>
      </c>
      <c r="K49" s="343">
        <f t="shared" si="28"/>
        <v>0.22538800000000001</v>
      </c>
      <c r="L49" s="344">
        <f t="shared" si="10"/>
        <v>563470</v>
      </c>
      <c r="M49" s="584">
        <f t="shared" si="14"/>
        <v>563470</v>
      </c>
      <c r="N49" s="345">
        <f t="shared" si="3"/>
        <v>1936530</v>
      </c>
      <c r="O49" s="346">
        <v>0</v>
      </c>
      <c r="P49" s="344">
        <f t="shared" si="31"/>
        <v>563470</v>
      </c>
      <c r="Q49" s="567">
        <f t="shared" si="26"/>
        <v>0</v>
      </c>
      <c r="R49" s="579">
        <f>SUM(R50:R59)</f>
        <v>0</v>
      </c>
    </row>
    <row r="50" spans="1:18" ht="15">
      <c r="A50" s="334">
        <v>202120207</v>
      </c>
      <c r="B50" s="354" t="s">
        <v>54</v>
      </c>
      <c r="C50" s="336">
        <f>'PAC INICIAL 2020'!C49</f>
        <v>1500000</v>
      </c>
      <c r="D50" s="342"/>
      <c r="E50" s="338"/>
      <c r="F50" s="339"/>
      <c r="G50" s="347"/>
      <c r="H50" s="341">
        <f t="shared" si="30"/>
        <v>1500000</v>
      </c>
      <c r="I50" s="342">
        <f>MAYO!I50+MAYO!J50</f>
        <v>0</v>
      </c>
      <c r="J50" s="342">
        <v>0</v>
      </c>
      <c r="K50" s="343">
        <f t="shared" si="28"/>
        <v>0</v>
      </c>
      <c r="L50" s="344">
        <f t="shared" si="10"/>
        <v>0</v>
      </c>
      <c r="M50" s="522">
        <f t="shared" si="14"/>
        <v>0</v>
      </c>
      <c r="N50" s="345">
        <f t="shared" si="3"/>
        <v>1500000</v>
      </c>
      <c r="O50" s="346">
        <f>N50/H50</f>
        <v>1</v>
      </c>
      <c r="P50" s="344">
        <f t="shared" si="31"/>
        <v>0</v>
      </c>
      <c r="Q50" s="567">
        <f t="shared" si="26"/>
        <v>0</v>
      </c>
      <c r="R50" s="567">
        <f t="shared" si="13"/>
        <v>0</v>
      </c>
    </row>
    <row r="51" spans="1:18" ht="15">
      <c r="A51" s="334">
        <v>202120208</v>
      </c>
      <c r="B51" s="351" t="s">
        <v>56</v>
      </c>
      <c r="C51" s="336">
        <f>'PAC INICIAL 2020'!C50</f>
        <v>0</v>
      </c>
      <c r="D51" s="342"/>
      <c r="E51" s="338"/>
      <c r="F51" s="357"/>
      <c r="G51" s="347"/>
      <c r="H51" s="341">
        <f t="shared" si="30"/>
        <v>0</v>
      </c>
      <c r="I51" s="342">
        <f>MAYO!I51+MAYO!J51</f>
        <v>0</v>
      </c>
      <c r="J51" s="342">
        <v>0</v>
      </c>
      <c r="K51" s="343">
        <v>0</v>
      </c>
      <c r="L51" s="344">
        <f t="shared" si="10"/>
        <v>0</v>
      </c>
      <c r="M51" s="522">
        <f t="shared" si="14"/>
        <v>0</v>
      </c>
      <c r="N51" s="345">
        <f t="shared" si="3"/>
        <v>0</v>
      </c>
      <c r="O51" s="346">
        <v>0</v>
      </c>
      <c r="P51" s="344">
        <f t="shared" si="31"/>
        <v>0</v>
      </c>
      <c r="Q51" s="567">
        <f t="shared" si="26"/>
        <v>0</v>
      </c>
      <c r="R51" s="567">
        <f t="shared" si="13"/>
        <v>0</v>
      </c>
    </row>
    <row r="52" spans="1:18" ht="15">
      <c r="A52" s="334">
        <v>202120209</v>
      </c>
      <c r="B52" s="351" t="s">
        <v>58</v>
      </c>
      <c r="C52" s="336">
        <f>'PAC INICIAL 2020'!C51</f>
        <v>9400000</v>
      </c>
      <c r="D52" s="342"/>
      <c r="E52" s="338"/>
      <c r="F52" s="339"/>
      <c r="G52" s="347"/>
      <c r="H52" s="341">
        <f t="shared" si="30"/>
        <v>9400000</v>
      </c>
      <c r="I52" s="342">
        <f>MAYO!I52+MAYO!J52</f>
        <v>1466865</v>
      </c>
      <c r="J52" s="6">
        <f>'LIBRO DE PRESUPUESTO'!J500</f>
        <v>1014668</v>
      </c>
      <c r="K52" s="343">
        <f>L52/H52</f>
        <v>0.26399287234042551</v>
      </c>
      <c r="L52" s="344">
        <f t="shared" si="10"/>
        <v>2481533</v>
      </c>
      <c r="M52" s="522">
        <f t="shared" si="14"/>
        <v>2481533</v>
      </c>
      <c r="N52" s="345">
        <f t="shared" si="3"/>
        <v>6918467</v>
      </c>
      <c r="O52" s="346">
        <f>N52/H52</f>
        <v>0.73600712765957443</v>
      </c>
      <c r="P52" s="344">
        <f t="shared" si="31"/>
        <v>2481533</v>
      </c>
      <c r="Q52" s="567">
        <f t="shared" si="26"/>
        <v>0</v>
      </c>
      <c r="R52" s="567">
        <f t="shared" si="13"/>
        <v>0</v>
      </c>
    </row>
    <row r="53" spans="1:18" ht="15">
      <c r="A53" s="334">
        <v>202120210</v>
      </c>
      <c r="B53" s="354" t="s">
        <v>60</v>
      </c>
      <c r="C53" s="336">
        <f>'PAC INICIAL 2020'!C52</f>
        <v>10000000</v>
      </c>
      <c r="D53" s="342"/>
      <c r="E53" s="338"/>
      <c r="F53" s="339"/>
      <c r="G53" s="347"/>
      <c r="H53" s="341">
        <f t="shared" si="30"/>
        <v>10000000</v>
      </c>
      <c r="I53" s="342">
        <f>MAYO!I53+MAYO!J53</f>
        <v>1500000</v>
      </c>
      <c r="J53" s="6">
        <v>0</v>
      </c>
      <c r="K53" s="343">
        <f>L53/H53</f>
        <v>0.15</v>
      </c>
      <c r="L53" s="344">
        <f t="shared" si="10"/>
        <v>1500000</v>
      </c>
      <c r="M53" s="522">
        <f t="shared" si="14"/>
        <v>1500000</v>
      </c>
      <c r="N53" s="345">
        <f t="shared" si="3"/>
        <v>8500000</v>
      </c>
      <c r="O53" s="346">
        <f>N53/H53</f>
        <v>0.85</v>
      </c>
      <c r="P53" s="344">
        <f t="shared" si="31"/>
        <v>1500000</v>
      </c>
      <c r="Q53" s="567">
        <f t="shared" si="26"/>
        <v>0</v>
      </c>
      <c r="R53" s="567">
        <f t="shared" si="13"/>
        <v>0</v>
      </c>
    </row>
    <row r="54" spans="1:18" ht="15">
      <c r="A54" s="334">
        <v>202120211</v>
      </c>
      <c r="B54" s="351" t="s">
        <v>62</v>
      </c>
      <c r="C54" s="336">
        <f>'PAC INICIAL 2020'!C53</f>
        <v>4000000</v>
      </c>
      <c r="D54" s="342"/>
      <c r="E54" s="338"/>
      <c r="F54" s="339"/>
      <c r="G54" s="347"/>
      <c r="H54" s="341">
        <f t="shared" si="30"/>
        <v>4000000</v>
      </c>
      <c r="I54" s="342">
        <f>MAYO!I54+MAYO!J54</f>
        <v>1130000</v>
      </c>
      <c r="J54" s="6">
        <v>0</v>
      </c>
      <c r="K54" s="343">
        <v>0</v>
      </c>
      <c r="L54" s="344">
        <f t="shared" si="10"/>
        <v>1130000</v>
      </c>
      <c r="M54" s="522">
        <f t="shared" si="14"/>
        <v>1130000</v>
      </c>
      <c r="N54" s="345">
        <f t="shared" si="3"/>
        <v>2870000</v>
      </c>
      <c r="O54" s="346">
        <v>0</v>
      </c>
      <c r="P54" s="344">
        <f t="shared" si="31"/>
        <v>1130000</v>
      </c>
      <c r="Q54" s="567">
        <f t="shared" si="26"/>
        <v>0</v>
      </c>
      <c r="R54" s="567">
        <f t="shared" si="13"/>
        <v>0</v>
      </c>
    </row>
    <row r="55" spans="1:18" ht="15">
      <c r="A55" s="334">
        <v>202120212</v>
      </c>
      <c r="B55" s="351" t="s">
        <v>64</v>
      </c>
      <c r="C55" s="336">
        <f>'PAC INICIAL 2020'!C54</f>
        <v>15000000</v>
      </c>
      <c r="D55" s="342"/>
      <c r="E55" s="338"/>
      <c r="F55" s="339"/>
      <c r="G55" s="347"/>
      <c r="H55" s="341">
        <f t="shared" si="30"/>
        <v>15000000</v>
      </c>
      <c r="I55" s="342">
        <f>MAYO!I55+MAYO!J55</f>
        <v>0</v>
      </c>
      <c r="J55" s="342">
        <v>0</v>
      </c>
      <c r="K55" s="343">
        <v>0</v>
      </c>
      <c r="L55" s="344">
        <f t="shared" si="10"/>
        <v>0</v>
      </c>
      <c r="M55" s="522">
        <f t="shared" si="14"/>
        <v>0</v>
      </c>
      <c r="N55" s="345">
        <f t="shared" si="3"/>
        <v>15000000</v>
      </c>
      <c r="O55" s="346">
        <v>0</v>
      </c>
      <c r="P55" s="344">
        <f t="shared" si="31"/>
        <v>0</v>
      </c>
      <c r="Q55" s="567">
        <f t="shared" si="26"/>
        <v>0</v>
      </c>
      <c r="R55" s="567">
        <f t="shared" si="13"/>
        <v>0</v>
      </c>
    </row>
    <row r="56" spans="1:18" ht="15">
      <c r="A56" s="334">
        <v>202120213</v>
      </c>
      <c r="B56" s="351" t="s">
        <v>65</v>
      </c>
      <c r="C56" s="336">
        <f>'PAC INICIAL 2020'!C55</f>
        <v>0</v>
      </c>
      <c r="D56" s="342"/>
      <c r="E56" s="338"/>
      <c r="F56" s="339"/>
      <c r="G56" s="347"/>
      <c r="H56" s="341">
        <f t="shared" si="30"/>
        <v>0</v>
      </c>
      <c r="I56" s="342">
        <f>MAYO!I56+MAYO!J56</f>
        <v>0</v>
      </c>
      <c r="J56" s="342">
        <v>0</v>
      </c>
      <c r="K56" s="343">
        <v>0</v>
      </c>
      <c r="L56" s="344">
        <f t="shared" si="10"/>
        <v>0</v>
      </c>
      <c r="M56" s="522">
        <f t="shared" si="14"/>
        <v>0</v>
      </c>
      <c r="N56" s="345">
        <f t="shared" si="3"/>
        <v>0</v>
      </c>
      <c r="O56" s="346">
        <v>0</v>
      </c>
      <c r="P56" s="344">
        <f t="shared" si="31"/>
        <v>0</v>
      </c>
      <c r="Q56" s="567">
        <f t="shared" si="26"/>
        <v>0</v>
      </c>
      <c r="R56" s="567">
        <f t="shared" si="13"/>
        <v>0</v>
      </c>
    </row>
    <row r="57" spans="1:18" ht="15">
      <c r="A57" s="334">
        <v>202120214</v>
      </c>
      <c r="B57" s="351" t="s">
        <v>67</v>
      </c>
      <c r="C57" s="336">
        <f>'PAC INICIAL 2020'!C56</f>
        <v>0</v>
      </c>
      <c r="D57" s="342"/>
      <c r="E57" s="338"/>
      <c r="F57" s="339">
        <f>'LIBRO DE PRESUPUESTO'!G536</f>
        <v>3500000</v>
      </c>
      <c r="G57" s="347"/>
      <c r="H57" s="341">
        <f t="shared" si="30"/>
        <v>3500000</v>
      </c>
      <c r="I57" s="342">
        <f>MAYO!I57+MAYO!J57</f>
        <v>0</v>
      </c>
      <c r="J57" s="342">
        <v>0</v>
      </c>
      <c r="K57" s="343">
        <v>0</v>
      </c>
      <c r="L57" s="344">
        <f t="shared" si="10"/>
        <v>0</v>
      </c>
      <c r="M57" s="522">
        <f t="shared" si="14"/>
        <v>0</v>
      </c>
      <c r="N57" s="345">
        <f t="shared" si="3"/>
        <v>3500000</v>
      </c>
      <c r="O57" s="346">
        <v>0</v>
      </c>
      <c r="P57" s="344">
        <f t="shared" si="31"/>
        <v>0</v>
      </c>
      <c r="Q57" s="567">
        <f t="shared" si="26"/>
        <v>0</v>
      </c>
      <c r="R57" s="567">
        <f t="shared" si="13"/>
        <v>0</v>
      </c>
    </row>
    <row r="58" spans="1:18" ht="15">
      <c r="A58" s="358">
        <v>202120215</v>
      </c>
      <c r="B58" s="351" t="s">
        <v>97</v>
      </c>
      <c r="C58" s="336">
        <f>'PAC INICIAL 2020'!C57</f>
        <v>1200000</v>
      </c>
      <c r="D58" s="342"/>
      <c r="E58" s="338"/>
      <c r="F58" s="339"/>
      <c r="G58" s="347"/>
      <c r="H58" s="341">
        <f t="shared" si="30"/>
        <v>1200000</v>
      </c>
      <c r="I58" s="342">
        <f>MAYO!I58+MAYO!J58</f>
        <v>0</v>
      </c>
      <c r="J58" s="342">
        <v>0</v>
      </c>
      <c r="K58" s="343">
        <f>L58/H58</f>
        <v>0</v>
      </c>
      <c r="L58" s="344">
        <f t="shared" si="10"/>
        <v>0</v>
      </c>
      <c r="M58" s="522">
        <f t="shared" si="14"/>
        <v>0</v>
      </c>
      <c r="N58" s="345">
        <f t="shared" si="3"/>
        <v>1200000</v>
      </c>
      <c r="O58" s="346">
        <f>N58/H58</f>
        <v>1</v>
      </c>
      <c r="P58" s="344">
        <f t="shared" si="31"/>
        <v>0</v>
      </c>
      <c r="Q58" s="567">
        <f t="shared" si="26"/>
        <v>0</v>
      </c>
      <c r="R58" s="567">
        <f t="shared" si="13"/>
        <v>0</v>
      </c>
    </row>
    <row r="59" spans="1:18" ht="15">
      <c r="A59" s="358">
        <v>202120216</v>
      </c>
      <c r="B59" s="351" t="s">
        <v>148</v>
      </c>
      <c r="C59" s="336">
        <f>'PAC INICIAL 2020'!C58</f>
        <v>1000000</v>
      </c>
      <c r="D59" s="342"/>
      <c r="E59" s="338"/>
      <c r="F59" s="339"/>
      <c r="G59" s="347"/>
      <c r="H59" s="341">
        <f>C59-D59+E59+F59-G59</f>
        <v>1000000</v>
      </c>
      <c r="I59" s="342">
        <f>MAYO!I59+MAYO!J59</f>
        <v>0</v>
      </c>
      <c r="J59" s="342">
        <v>0</v>
      </c>
      <c r="K59" s="343">
        <f>L59/H59</f>
        <v>0</v>
      </c>
      <c r="L59" s="344">
        <f t="shared" si="10"/>
        <v>0</v>
      </c>
      <c r="M59" s="522">
        <f t="shared" si="14"/>
        <v>0</v>
      </c>
      <c r="N59" s="345">
        <f>H59-L59</f>
        <v>1000000</v>
      </c>
      <c r="O59" s="346">
        <f>N59/H59</f>
        <v>1</v>
      </c>
      <c r="P59" s="344">
        <f t="shared" si="31"/>
        <v>0</v>
      </c>
      <c r="Q59" s="567">
        <f t="shared" si="26"/>
        <v>0</v>
      </c>
      <c r="R59" s="567">
        <f t="shared" si="13"/>
        <v>0</v>
      </c>
    </row>
    <row r="60" spans="1:18" ht="27" customHeight="1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0</v>
      </c>
      <c r="H60" s="329">
        <f>SUM(H61:H61)</f>
        <v>75000000</v>
      </c>
      <c r="I60" s="329">
        <f>SUM(I61:I61)</f>
        <v>31645000</v>
      </c>
      <c r="J60" s="329">
        <f>SUM(J61:J61)</f>
        <v>31000000</v>
      </c>
      <c r="K60" s="330">
        <f>K61</f>
        <v>1</v>
      </c>
      <c r="L60" s="331">
        <f>L61</f>
        <v>62645000</v>
      </c>
      <c r="M60" s="348">
        <f t="shared" si="14"/>
        <v>62645000</v>
      </c>
      <c r="N60" s="348">
        <f>SUM(N61:N61)</f>
        <v>12355000</v>
      </c>
      <c r="O60" s="332">
        <v>0</v>
      </c>
      <c r="P60" s="329">
        <f>SUM(P61:P61)</f>
        <v>62645000</v>
      </c>
      <c r="Q60" s="329">
        <f>SUM(Q61:Q61)</f>
        <v>0</v>
      </c>
      <c r="R60" s="329">
        <f>SUM(R61:R61)</f>
        <v>0</v>
      </c>
    </row>
    <row r="61" spans="1:18" ht="15">
      <c r="A61" s="368">
        <v>202130101</v>
      </c>
      <c r="B61" s="369" t="s">
        <v>96</v>
      </c>
      <c r="C61" s="336">
        <f>'PAC INICIAL 2020'!C76</f>
        <v>75000000</v>
      </c>
      <c r="D61" s="370">
        <v>0</v>
      </c>
      <c r="E61" s="371"/>
      <c r="F61" s="372"/>
      <c r="G61" s="373"/>
      <c r="H61" s="341">
        <f>C61-D61+E61+F61-G61</f>
        <v>75000000</v>
      </c>
      <c r="I61" s="342">
        <f>MAYO!I61+MAYO!J61</f>
        <v>31645000</v>
      </c>
      <c r="J61" s="370">
        <f>'LIBRO DE PRESUPUESTO'!J759</f>
        <v>31000000</v>
      </c>
      <c r="K61" s="343">
        <v>1</v>
      </c>
      <c r="L61" s="344">
        <f>J61+I61</f>
        <v>62645000</v>
      </c>
      <c r="M61" s="522">
        <f t="shared" si="14"/>
        <v>62645000</v>
      </c>
      <c r="N61" s="345">
        <f t="shared" si="3"/>
        <v>12355000</v>
      </c>
      <c r="O61" s="346">
        <v>0</v>
      </c>
      <c r="P61" s="344">
        <f t="shared" si="31"/>
        <v>62645000</v>
      </c>
      <c r="Q61" s="567">
        <f t="shared" si="26"/>
        <v>0</v>
      </c>
      <c r="R61" s="344"/>
    </row>
    <row r="62" spans="1:18" s="380" customFormat="1" ht="31.5" customHeight="1" thickBot="1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167244166</v>
      </c>
      <c r="F62" s="377">
        <f>F8+F18+F38+F43++F22+F27+F60</f>
        <v>61500000</v>
      </c>
      <c r="G62" s="377">
        <f>G8+G18+G38+G43+G22+G27+G60</f>
        <v>61500000</v>
      </c>
      <c r="H62" s="377">
        <f>H8+H18+H38+H43+H22+H27+H60</f>
        <v>1322370231</v>
      </c>
      <c r="I62" s="377">
        <f>I8+I18+I38+I43+I22+I27+I60</f>
        <v>391506826</v>
      </c>
      <c r="J62" s="377">
        <f>J8+J18+J38+J43+J22+J27+J60</f>
        <v>102082995</v>
      </c>
      <c r="K62" s="378">
        <f>L62/H62</f>
        <v>0.37326144329998912</v>
      </c>
      <c r="L62" s="377">
        <f>L8+L18+L38+L43+L22+L27+L60</f>
        <v>493589821</v>
      </c>
      <c r="M62" s="377">
        <f>M8+M18+M38+M43+M22+M27+M60</f>
        <v>493589821</v>
      </c>
      <c r="N62" s="377">
        <f>N8+N18+N38+N43+N22+N27+N60</f>
        <v>828780410</v>
      </c>
      <c r="O62" s="379">
        <f>N62/H62</f>
        <v>0.62673855670001088</v>
      </c>
      <c r="P62" s="377">
        <f>P8+P18+P38+P43+P22+P27+P60</f>
        <v>459089821</v>
      </c>
      <c r="Q62" s="568">
        <f>Q9+Q18+Q22+Q27+Q44+Q49+Q60</f>
        <v>34500000</v>
      </c>
      <c r="R62" s="377">
        <f>R9+R18+R22+R27+R44+R49+R60</f>
        <v>0</v>
      </c>
    </row>
    <row r="63" spans="1:18" ht="35.25" customHeight="1" thickBot="1">
      <c r="A63" s="381" t="s">
        <v>172</v>
      </c>
      <c r="B63" s="686" t="s">
        <v>173</v>
      </c>
      <c r="C63" s="687"/>
      <c r="D63" s="687"/>
      <c r="E63" s="687"/>
      <c r="F63" s="687"/>
      <c r="G63" s="687"/>
      <c r="H63" s="687"/>
      <c r="I63" s="687"/>
      <c r="J63" s="687"/>
      <c r="K63" s="687"/>
      <c r="L63" s="687"/>
      <c r="M63" s="687"/>
      <c r="N63" s="687"/>
      <c r="O63" s="687"/>
      <c r="P63" s="687"/>
      <c r="Q63" s="687"/>
      <c r="R63" s="688"/>
    </row>
    <row r="65" spans="4:14">
      <c r="D65" s="382"/>
      <c r="E65" s="382"/>
      <c r="F65" s="382"/>
      <c r="G65" s="382"/>
      <c r="N65" s="382"/>
    </row>
    <row r="66" spans="4:14">
      <c r="G66" s="382"/>
      <c r="I66" s="382"/>
      <c r="J66" s="385"/>
      <c r="N66" s="382"/>
    </row>
    <row r="67" spans="4:14">
      <c r="D67" s="382"/>
      <c r="J67" s="382"/>
      <c r="K67" s="382"/>
      <c r="N67" s="382"/>
    </row>
    <row r="68" spans="4:14">
      <c r="H68" s="382"/>
      <c r="J68" s="382"/>
      <c r="N68" s="382"/>
    </row>
    <row r="69" spans="4:14">
      <c r="H69" s="382"/>
      <c r="J69" s="382"/>
    </row>
  </sheetData>
  <mergeCells count="5">
    <mergeCell ref="K5:K6"/>
    <mergeCell ref="B63:R63"/>
    <mergeCell ref="A1:R1"/>
    <mergeCell ref="A2:R2"/>
    <mergeCell ref="A3:R3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zoomScale="80" zoomScaleNormal="80" zoomScaleSheetLayoutView="80" workbookViewId="0">
      <pane xSplit="2" ySplit="7" topLeftCell="C32" activePane="bottomRight" state="frozen"/>
      <selection activeCell="J228" sqref="J228"/>
      <selection pane="topRight" activeCell="J228" sqref="J228"/>
      <selection pane="bottomLeft" activeCell="J228" sqref="J228"/>
      <selection pane="bottomRight" activeCell="J228" sqref="J228"/>
    </sheetView>
  </sheetViews>
  <sheetFormatPr baseColWidth="10" defaultRowHeight="14.25"/>
  <cols>
    <col min="1" max="1" width="16" style="383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6.875" style="1" bestFit="1" customWidth="1"/>
    <col min="14" max="14" width="8.5" style="1" customWidth="1"/>
    <col min="15" max="15" width="11" style="1"/>
    <col min="16" max="16" width="14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7" ht="18">
      <c r="A1" s="679" t="s">
        <v>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</row>
    <row r="2" spans="1:17" ht="18">
      <c r="A2" s="680" t="s">
        <v>156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</row>
    <row r="3" spans="1:17" ht="18">
      <c r="A3" s="680" t="s">
        <v>245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</row>
    <row r="4" spans="1:17" ht="18.75" thickBot="1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0"/>
      <c r="N4" s="303"/>
    </row>
    <row r="5" spans="1:17" ht="23.25" customHeight="1">
      <c r="A5" s="304" t="s">
        <v>157</v>
      </c>
      <c r="B5" s="305" t="s">
        <v>1</v>
      </c>
      <c r="C5" s="306" t="s">
        <v>158</v>
      </c>
      <c r="D5" s="307" t="s">
        <v>159</v>
      </c>
      <c r="E5" s="308" t="s">
        <v>160</v>
      </c>
      <c r="F5" s="308" t="s">
        <v>2</v>
      </c>
      <c r="G5" s="306" t="s">
        <v>161</v>
      </c>
      <c r="H5" s="307" t="s">
        <v>162</v>
      </c>
      <c r="I5" s="308" t="s">
        <v>207</v>
      </c>
      <c r="J5" s="306" t="s">
        <v>164</v>
      </c>
      <c r="K5" s="689" t="s">
        <v>165</v>
      </c>
      <c r="L5" s="309" t="s">
        <v>162</v>
      </c>
      <c r="M5" s="306" t="s">
        <v>166</v>
      </c>
      <c r="N5" s="310" t="s">
        <v>165</v>
      </c>
    </row>
    <row r="6" spans="1:17" ht="23.25" customHeight="1" thickBot="1">
      <c r="A6" s="311"/>
      <c r="B6" s="312"/>
      <c r="C6" s="313" t="s">
        <v>3</v>
      </c>
      <c r="D6" s="314"/>
      <c r="E6" s="315"/>
      <c r="F6" s="315"/>
      <c r="G6" s="313" t="s">
        <v>2</v>
      </c>
      <c r="H6" s="314" t="s">
        <v>158</v>
      </c>
      <c r="I6" s="316" t="s">
        <v>167</v>
      </c>
      <c r="J6" s="313" t="s">
        <v>168</v>
      </c>
      <c r="K6" s="690"/>
      <c r="L6" s="317" t="s">
        <v>169</v>
      </c>
      <c r="M6" s="313" t="s">
        <v>170</v>
      </c>
      <c r="N6" s="318"/>
    </row>
    <row r="7" spans="1:17" ht="1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5"/>
      <c r="N7" s="326"/>
    </row>
    <row r="8" spans="1:17" s="333" customFormat="1" ht="27.75" customHeight="1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167244166</v>
      </c>
      <c r="F8" s="329">
        <f t="shared" si="0"/>
        <v>0</v>
      </c>
      <c r="G8" s="329">
        <f t="shared" si="0"/>
        <v>15500000</v>
      </c>
      <c r="H8" s="329">
        <f t="shared" si="0"/>
        <v>802121490</v>
      </c>
      <c r="I8" s="329">
        <f t="shared" si="0"/>
        <v>167258994</v>
      </c>
      <c r="J8" s="329">
        <f>SUM(J9:J17)</f>
        <v>38640240</v>
      </c>
      <c r="K8" s="330">
        <f t="shared" ref="K8:K19" si="1">L8/H8</f>
        <v>0.2566933270918848</v>
      </c>
      <c r="L8" s="331">
        <f>I8+J8</f>
        <v>205899234</v>
      </c>
      <c r="M8" s="329">
        <f>SUM(M9:M17)</f>
        <v>596222256</v>
      </c>
      <c r="N8" s="332">
        <f>M8/H8</f>
        <v>0.74330667290811525</v>
      </c>
    </row>
    <row r="9" spans="1:17" ht="1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PRESUPUESTO'!H7+'LIBRO DE PRESUPUESTO'!H12</f>
        <v>15500000</v>
      </c>
      <c r="H9" s="341">
        <f>C9-D9+E9+F9-G9</f>
        <v>472731324</v>
      </c>
      <c r="I9" s="342">
        <f>ABRIL!I9+ABRIL!J9</f>
        <v>149397210</v>
      </c>
      <c r="J9" s="4">
        <f>'LIBRO DE PRESUPUESTO'!J13</f>
        <v>38474514</v>
      </c>
      <c r="K9" s="343">
        <f t="shared" si="1"/>
        <v>0.39741754874699187</v>
      </c>
      <c r="L9" s="344">
        <f t="shared" ref="L9:L15" si="2">J9+I9</f>
        <v>187871724</v>
      </c>
      <c r="M9" s="345">
        <f t="shared" ref="M9:M61" si="3">H9-L9</f>
        <v>284859600</v>
      </c>
      <c r="N9" s="346">
        <f>M9/H9</f>
        <v>0.60258245125300813</v>
      </c>
      <c r="P9" s="361">
        <f>J9*5.5%</f>
        <v>2116098.27</v>
      </c>
    </row>
    <row r="10" spans="1:17" ht="15">
      <c r="A10" s="334">
        <v>202110101</v>
      </c>
      <c r="B10" s="335" t="s">
        <v>217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f>ABRIL!I10+ABRIL!J10</f>
        <v>0</v>
      </c>
      <c r="J10" s="4"/>
      <c r="K10" s="343">
        <f t="shared" si="1"/>
        <v>0</v>
      </c>
      <c r="L10" s="344">
        <f t="shared" si="2"/>
        <v>0</v>
      </c>
      <c r="M10" s="345">
        <f t="shared" si="3"/>
        <v>167244166</v>
      </c>
      <c r="N10" s="346">
        <f>M10/H10</f>
        <v>1</v>
      </c>
      <c r="P10" s="361">
        <f>P9*5</f>
        <v>10580491.35</v>
      </c>
    </row>
    <row r="11" spans="1:17" ht="15">
      <c r="A11" s="334">
        <v>202110103</v>
      </c>
      <c r="B11" s="335" t="s">
        <v>11</v>
      </c>
      <c r="C11" s="336">
        <f>'PAC INICIAL 2020'!C25</f>
        <v>1246000</v>
      </c>
      <c r="D11" s="337"/>
      <c r="E11" s="338"/>
      <c r="F11" s="339"/>
      <c r="G11" s="347"/>
      <c r="H11" s="341">
        <f t="shared" ref="H11:H21" si="4">C11-D11+E11+F11-G11</f>
        <v>1246000</v>
      </c>
      <c r="I11" s="342">
        <f>ABRIL!I11+ABRIL!J11</f>
        <v>411416</v>
      </c>
      <c r="J11" s="342">
        <f>'LIBRO DE PRESUPUESTO'!J39</f>
        <v>102854</v>
      </c>
      <c r="K11" s="343">
        <f t="shared" si="1"/>
        <v>0.4127367576243981</v>
      </c>
      <c r="L11" s="344">
        <f t="shared" si="2"/>
        <v>514270</v>
      </c>
      <c r="M11" s="345">
        <f t="shared" si="3"/>
        <v>731730</v>
      </c>
      <c r="N11" s="346">
        <f t="shared" ref="N11:N19" si="5">M11/H11</f>
        <v>0.5872632423756019</v>
      </c>
    </row>
    <row r="12" spans="1:17" ht="15.75" customHeight="1">
      <c r="A12" s="334">
        <v>202110104</v>
      </c>
      <c r="B12" s="335" t="s">
        <v>13</v>
      </c>
      <c r="C12" s="336">
        <f>'PAC INICIAL 2020'!C26</f>
        <v>900000</v>
      </c>
      <c r="D12" s="337"/>
      <c r="E12" s="338"/>
      <c r="F12" s="339"/>
      <c r="G12" s="347"/>
      <c r="H12" s="341">
        <f t="shared" si="4"/>
        <v>900000</v>
      </c>
      <c r="I12" s="342">
        <f>ABRIL!I12+ABRIL!J12</f>
        <v>251488</v>
      </c>
      <c r="J12" s="342">
        <f>'LIBRO DE PRESUPUESTO'!J55</f>
        <v>62872</v>
      </c>
      <c r="K12" s="343">
        <f t="shared" si="1"/>
        <v>0.34928888888888887</v>
      </c>
      <c r="L12" s="344">
        <f t="shared" si="2"/>
        <v>314360</v>
      </c>
      <c r="M12" s="345">
        <f t="shared" si="3"/>
        <v>585640</v>
      </c>
      <c r="N12" s="346">
        <f t="shared" si="5"/>
        <v>0.65071111111111113</v>
      </c>
      <c r="P12" s="1">
        <v>50194739</v>
      </c>
      <c r="Q12" s="1">
        <f>P12*5.5%</f>
        <v>2760710.645</v>
      </c>
    </row>
    <row r="13" spans="1:17" ht="15">
      <c r="A13" s="334">
        <v>202110105</v>
      </c>
      <c r="B13" s="335" t="s">
        <v>15</v>
      </c>
      <c r="C13" s="336">
        <f>'PAC INICIAL 2020'!C27</f>
        <v>17000000</v>
      </c>
      <c r="D13" s="337"/>
      <c r="E13" s="338"/>
      <c r="F13" s="339"/>
      <c r="G13" s="347"/>
      <c r="H13" s="341">
        <f t="shared" si="4"/>
        <v>17000000</v>
      </c>
      <c r="I13" s="342">
        <f>ABRIL!I13+ABRIL!J13</f>
        <v>2229039</v>
      </c>
      <c r="J13" s="4">
        <v>0</v>
      </c>
      <c r="K13" s="343">
        <f t="shared" si="1"/>
        <v>0.13111994117647058</v>
      </c>
      <c r="L13" s="344">
        <f t="shared" si="2"/>
        <v>2229039</v>
      </c>
      <c r="M13" s="345">
        <f t="shared" si="3"/>
        <v>14770961</v>
      </c>
      <c r="N13" s="346">
        <f t="shared" si="5"/>
        <v>0.86888005882352937</v>
      </c>
      <c r="Q13" s="1">
        <f>P12*5.12%</f>
        <v>2569970.6368</v>
      </c>
    </row>
    <row r="14" spans="1:17" ht="15">
      <c r="A14" s="334">
        <v>202110106</v>
      </c>
      <c r="B14" s="335" t="s">
        <v>17</v>
      </c>
      <c r="C14" s="336">
        <f>'PAC INICIAL 2020'!C28</f>
        <v>24000000</v>
      </c>
      <c r="D14" s="337"/>
      <c r="E14" s="338"/>
      <c r="F14" s="339"/>
      <c r="G14" s="347"/>
      <c r="H14" s="341">
        <f t="shared" si="4"/>
        <v>24000000</v>
      </c>
      <c r="I14" s="342">
        <f>ABRIL!I14+ABRIL!J14</f>
        <v>5147869</v>
      </c>
      <c r="J14" s="4">
        <v>0</v>
      </c>
      <c r="K14" s="343">
        <f t="shared" si="1"/>
        <v>0.21449454166666668</v>
      </c>
      <c r="L14" s="344">
        <f t="shared" si="2"/>
        <v>5147869</v>
      </c>
      <c r="M14" s="345">
        <f t="shared" si="3"/>
        <v>18852131</v>
      </c>
      <c r="N14" s="346">
        <f t="shared" si="5"/>
        <v>0.7855054583333333</v>
      </c>
      <c r="Q14" s="1">
        <f>P12+Q12</f>
        <v>52955449.645000003</v>
      </c>
    </row>
    <row r="15" spans="1:17" ht="15">
      <c r="A15" s="334">
        <v>202110107</v>
      </c>
      <c r="B15" s="335" t="s">
        <v>19</v>
      </c>
      <c r="C15" s="336">
        <f>'PAC INICIAL 2020'!C29</f>
        <v>28000000</v>
      </c>
      <c r="D15" s="337"/>
      <c r="E15" s="338"/>
      <c r="F15" s="339"/>
      <c r="G15" s="347"/>
      <c r="H15" s="341">
        <f t="shared" si="4"/>
        <v>28000000</v>
      </c>
      <c r="I15" s="342">
        <f>ABRIL!I15+ABRIL!J15</f>
        <v>3410525</v>
      </c>
      <c r="J15" s="4">
        <v>0</v>
      </c>
      <c r="K15" s="343">
        <f t="shared" si="1"/>
        <v>0.12180446428571429</v>
      </c>
      <c r="L15" s="344">
        <f t="shared" si="2"/>
        <v>3410525</v>
      </c>
      <c r="M15" s="345">
        <f t="shared" si="3"/>
        <v>24589475</v>
      </c>
      <c r="N15" s="346">
        <f t="shared" si="5"/>
        <v>0.87819553571428577</v>
      </c>
      <c r="Q15" s="1">
        <f>Q14*7</f>
        <v>370688147.51500005</v>
      </c>
    </row>
    <row r="16" spans="1:17" ht="15">
      <c r="A16" s="334">
        <v>202110109</v>
      </c>
      <c r="B16" s="335" t="s">
        <v>20</v>
      </c>
      <c r="C16" s="336">
        <f>'PAC INICIAL 2020'!C30</f>
        <v>36000000</v>
      </c>
      <c r="D16" s="337"/>
      <c r="E16" s="338"/>
      <c r="F16" s="339"/>
      <c r="G16" s="347"/>
      <c r="H16" s="341">
        <f t="shared" si="4"/>
        <v>36000000</v>
      </c>
      <c r="I16" s="342">
        <f>ABRIL!I16+ABRIL!J16</f>
        <v>5079406</v>
      </c>
      <c r="J16" s="4">
        <v>0</v>
      </c>
      <c r="K16" s="343">
        <f t="shared" si="1"/>
        <v>0.1410946111111111</v>
      </c>
      <c r="L16" s="344">
        <f>J16+I16</f>
        <v>5079406</v>
      </c>
      <c r="M16" s="345">
        <f t="shared" si="3"/>
        <v>30920594</v>
      </c>
      <c r="N16" s="346">
        <f t="shared" si="5"/>
        <v>0.8589053888888889</v>
      </c>
      <c r="Q16" s="1">
        <f>Q14*12</f>
        <v>635465395.74000001</v>
      </c>
    </row>
    <row r="17" spans="1:16" ht="15">
      <c r="A17" s="334">
        <v>202110108</v>
      </c>
      <c r="B17" s="335" t="s">
        <v>21</v>
      </c>
      <c r="C17" s="336">
        <f>'PAC INICIAL 2020'!C31</f>
        <v>55000000</v>
      </c>
      <c r="D17" s="337"/>
      <c r="E17" s="338"/>
      <c r="F17" s="339"/>
      <c r="G17" s="347"/>
      <c r="H17" s="341">
        <f t="shared" si="4"/>
        <v>55000000</v>
      </c>
      <c r="I17" s="342">
        <f>ABRIL!I17+ABRIL!J17</f>
        <v>1332041</v>
      </c>
      <c r="J17" s="4">
        <v>0</v>
      </c>
      <c r="K17" s="343">
        <f t="shared" si="1"/>
        <v>2.4218927272727273E-2</v>
      </c>
      <c r="L17" s="344">
        <f t="shared" ref="L17:L59" si="6">J17+I17</f>
        <v>1332041</v>
      </c>
      <c r="M17" s="345">
        <f t="shared" si="3"/>
        <v>53667959</v>
      </c>
      <c r="N17" s="346">
        <f t="shared" si="5"/>
        <v>0.97578107272727277</v>
      </c>
    </row>
    <row r="18" spans="1:16" s="349" customFormat="1" ht="27.75" customHeight="1">
      <c r="A18" s="327">
        <v>2021102</v>
      </c>
      <c r="B18" s="328" t="s">
        <v>23</v>
      </c>
      <c r="C18" s="329">
        <f t="shared" ref="C18:J18" si="7">SUM(C19:C21)</f>
        <v>20000000</v>
      </c>
      <c r="D18" s="329">
        <f t="shared" si="7"/>
        <v>0</v>
      </c>
      <c r="E18" s="329">
        <f t="shared" si="7"/>
        <v>0</v>
      </c>
      <c r="F18" s="329">
        <f t="shared" si="7"/>
        <v>48000000</v>
      </c>
      <c r="G18" s="329">
        <f t="shared" si="7"/>
        <v>0</v>
      </c>
      <c r="H18" s="329">
        <f t="shared" si="7"/>
        <v>68000000</v>
      </c>
      <c r="I18" s="329">
        <f t="shared" si="7"/>
        <v>56000000</v>
      </c>
      <c r="J18" s="329">
        <f t="shared" si="7"/>
        <v>4000000</v>
      </c>
      <c r="K18" s="330">
        <f t="shared" si="1"/>
        <v>0.88235294117647056</v>
      </c>
      <c r="L18" s="348">
        <f t="shared" si="6"/>
        <v>60000000</v>
      </c>
      <c r="M18" s="348">
        <f>SUM(M19:M21)</f>
        <v>8000000</v>
      </c>
      <c r="N18" s="332">
        <f t="shared" si="5"/>
        <v>0.11764705882352941</v>
      </c>
    </row>
    <row r="19" spans="1:16" ht="15">
      <c r="A19" s="334">
        <v>202110201</v>
      </c>
      <c r="B19" s="350" t="s">
        <v>25</v>
      </c>
      <c r="C19" s="336">
        <f>'PAC INICIAL 2020'!C33</f>
        <v>20000000</v>
      </c>
      <c r="D19" s="342"/>
      <c r="E19" s="338"/>
      <c r="F19" s="339">
        <f>'LIBRO DE PRESUPUESTO'!G161</f>
        <v>36000000</v>
      </c>
      <c r="G19" s="347"/>
      <c r="H19" s="341">
        <f t="shared" si="4"/>
        <v>56000000</v>
      </c>
      <c r="I19" s="342">
        <f>ABRIL!I19+ABRIL!J19</f>
        <v>48000000</v>
      </c>
      <c r="J19" s="342">
        <v>0</v>
      </c>
      <c r="K19" s="343">
        <f t="shared" si="1"/>
        <v>0.8571428571428571</v>
      </c>
      <c r="L19" s="344">
        <f t="shared" si="6"/>
        <v>48000000</v>
      </c>
      <c r="M19" s="345">
        <f t="shared" si="3"/>
        <v>8000000</v>
      </c>
      <c r="N19" s="346">
        <f t="shared" si="5"/>
        <v>0.14285714285714285</v>
      </c>
      <c r="P19" s="1">
        <v>170880676</v>
      </c>
    </row>
    <row r="20" spans="1:16" ht="1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f>'LIBRO DE PRESUPUESTO'!G176+'LIBRO DE PRESUPUESTO'!G178</f>
        <v>12000000</v>
      </c>
      <c r="G20" s="347"/>
      <c r="H20" s="341">
        <f t="shared" si="4"/>
        <v>12000000</v>
      </c>
      <c r="I20" s="342">
        <f>ABRIL!I20+ABRIL!J20</f>
        <v>8000000</v>
      </c>
      <c r="J20" s="342">
        <f>'LIBRO DE PRESUPUESTO'!J179</f>
        <v>4000000</v>
      </c>
      <c r="K20" s="343">
        <v>0</v>
      </c>
      <c r="L20" s="344">
        <f t="shared" si="6"/>
        <v>12000000</v>
      </c>
      <c r="M20" s="345">
        <f t="shared" si="3"/>
        <v>0</v>
      </c>
      <c r="N20" s="346">
        <v>0</v>
      </c>
      <c r="P20" s="1">
        <f>P19*5.5%</f>
        <v>9398437.1799999997</v>
      </c>
    </row>
    <row r="21" spans="1:16" ht="1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4"/>
        <v>0</v>
      </c>
      <c r="I21" s="342">
        <f>ABRIL!I21+ABRIL!J21</f>
        <v>0</v>
      </c>
      <c r="J21" s="2">
        <v>0</v>
      </c>
      <c r="K21" s="343">
        <v>0</v>
      </c>
      <c r="L21" s="344">
        <f t="shared" si="6"/>
        <v>0</v>
      </c>
      <c r="M21" s="345">
        <f t="shared" si="3"/>
        <v>0</v>
      </c>
      <c r="N21" s="346">
        <v>0</v>
      </c>
      <c r="P21" s="558">
        <f>P19+P20</f>
        <v>180279113.18000001</v>
      </c>
    </row>
    <row r="22" spans="1:16" ht="30">
      <c r="A22" s="327">
        <v>2021103</v>
      </c>
      <c r="B22" s="359" t="s">
        <v>69</v>
      </c>
      <c r="C22" s="360">
        <f>SUM(C23:C26)</f>
        <v>83629741</v>
      </c>
      <c r="D22" s="360">
        <f t="shared" ref="D22:J22" si="8">SUM(D23:D26)</f>
        <v>0</v>
      </c>
      <c r="E22" s="360">
        <f t="shared" si="8"/>
        <v>0</v>
      </c>
      <c r="F22" s="360">
        <f t="shared" si="8"/>
        <v>0</v>
      </c>
      <c r="G22" s="360">
        <f t="shared" si="8"/>
        <v>0</v>
      </c>
      <c r="H22" s="360">
        <f t="shared" si="8"/>
        <v>83629741</v>
      </c>
      <c r="I22" s="360">
        <f t="shared" si="8"/>
        <v>17920478</v>
      </c>
      <c r="J22" s="360">
        <f t="shared" si="8"/>
        <v>4152184</v>
      </c>
      <c r="K22" s="330">
        <f>L22/H22</f>
        <v>0.26393316224667013</v>
      </c>
      <c r="L22" s="360">
        <f>SUM(L23:L26)</f>
        <v>22072662</v>
      </c>
      <c r="M22" s="360">
        <f>SUM(M23:M26)</f>
        <v>61557079</v>
      </c>
      <c r="N22" s="332">
        <f t="shared" ref="N22:N28" si="9">M22/H22</f>
        <v>0.73606683775332993</v>
      </c>
    </row>
    <row r="23" spans="1:16" ht="15">
      <c r="A23" s="334">
        <v>202110301</v>
      </c>
      <c r="B23" s="351" t="s">
        <v>71</v>
      </c>
      <c r="C23" s="336">
        <f>'PAC INICIAL 2020'!C60</f>
        <v>16000083</v>
      </c>
      <c r="D23" s="337"/>
      <c r="E23" s="338"/>
      <c r="F23" s="339"/>
      <c r="G23" s="347"/>
      <c r="H23" s="341">
        <f>C23-D23+E23+F23-G23</f>
        <v>16000083</v>
      </c>
      <c r="I23" s="342">
        <f>ABRIL!I23+ABRIL!J23</f>
        <v>1365627</v>
      </c>
      <c r="J23" s="5">
        <v>0</v>
      </c>
      <c r="K23" s="343">
        <f t="shared" ref="K23:K36" si="10">L23/H23</f>
        <v>8.5351244740417914E-2</v>
      </c>
      <c r="L23" s="344">
        <f>J23+I23</f>
        <v>1365627</v>
      </c>
      <c r="M23" s="345">
        <f>H23-L23</f>
        <v>14634456</v>
      </c>
      <c r="N23" s="346">
        <f t="shared" si="9"/>
        <v>0.91464875525958211</v>
      </c>
    </row>
    <row r="24" spans="1:16" ht="15">
      <c r="A24" s="334">
        <v>202110302</v>
      </c>
      <c r="B24" s="351" t="s">
        <v>73</v>
      </c>
      <c r="C24" s="336">
        <f>'PAC INICIAL 2020'!C61</f>
        <v>46429658</v>
      </c>
      <c r="D24" s="337"/>
      <c r="E24" s="338"/>
      <c r="F24" s="339"/>
      <c r="G24" s="347"/>
      <c r="H24" s="341">
        <f>C24-D24+E24+F24-G24</f>
        <v>46429658</v>
      </c>
      <c r="I24" s="342">
        <f>ABRIL!I24+ABRIL!J24</f>
        <v>12829917</v>
      </c>
      <c r="J24" s="4">
        <v>3270091</v>
      </c>
      <c r="K24" s="343">
        <f t="shared" si="10"/>
        <v>0.34676128779583082</v>
      </c>
      <c r="L24" s="344">
        <f>J24+I24</f>
        <v>16100008</v>
      </c>
      <c r="M24" s="345">
        <f>H24-L24</f>
        <v>30329650</v>
      </c>
      <c r="N24" s="346">
        <f t="shared" si="9"/>
        <v>0.65323871220416918</v>
      </c>
    </row>
    <row r="25" spans="1:16" ht="15">
      <c r="A25" s="334">
        <v>202110304</v>
      </c>
      <c r="B25" s="351" t="s">
        <v>74</v>
      </c>
      <c r="C25" s="336">
        <f>'PAC INICIAL 2020'!C62</f>
        <v>14000000</v>
      </c>
      <c r="D25" s="337"/>
      <c r="E25" s="338"/>
      <c r="F25" s="339"/>
      <c r="G25" s="347"/>
      <c r="H25" s="341">
        <f>C25-D25+E25+F25-G25</f>
        <v>14000000</v>
      </c>
      <c r="I25" s="342">
        <f>ABRIL!I25+ABRIL!J25</f>
        <v>3561059</v>
      </c>
      <c r="J25" s="4">
        <v>882093</v>
      </c>
      <c r="K25" s="343">
        <f t="shared" si="10"/>
        <v>0.31736799999999998</v>
      </c>
      <c r="L25" s="344">
        <f>J25+I25</f>
        <v>4443152</v>
      </c>
      <c r="M25" s="345">
        <f>H25-L25</f>
        <v>9556848</v>
      </c>
      <c r="N25" s="346">
        <f t="shared" si="9"/>
        <v>0.68263200000000002</v>
      </c>
    </row>
    <row r="26" spans="1:16" ht="15">
      <c r="A26" s="334">
        <v>202110305</v>
      </c>
      <c r="B26" s="351" t="s">
        <v>75</v>
      </c>
      <c r="C26" s="336">
        <f>'PAC INICIAL 2020'!C63</f>
        <v>7200000</v>
      </c>
      <c r="D26" s="362"/>
      <c r="E26" s="338"/>
      <c r="F26" s="339"/>
      <c r="G26" s="363"/>
      <c r="H26" s="341">
        <f>C26-D26+E26+F26-G26</f>
        <v>7200000</v>
      </c>
      <c r="I26" s="342">
        <f>ABRIL!I26+ABRIL!J26</f>
        <v>163875</v>
      </c>
      <c r="J26" s="341">
        <v>0</v>
      </c>
      <c r="K26" s="343">
        <f t="shared" si="10"/>
        <v>2.2760416666666668E-2</v>
      </c>
      <c r="L26" s="344">
        <f>J26+I26</f>
        <v>163875</v>
      </c>
      <c r="M26" s="345">
        <f>H26-L26</f>
        <v>7036125</v>
      </c>
      <c r="N26" s="346">
        <f t="shared" si="9"/>
        <v>0.97723958333333338</v>
      </c>
      <c r="P26" s="559">
        <f>P21+Q16</f>
        <v>815744508.92000008</v>
      </c>
    </row>
    <row r="27" spans="1:16" ht="15.75">
      <c r="A27" s="327">
        <v>2021104</v>
      </c>
      <c r="B27" s="364" t="s">
        <v>76</v>
      </c>
      <c r="C27" s="360">
        <f t="shared" ref="C27:J27" si="11">SUM(C28:C37)</f>
        <v>177100000</v>
      </c>
      <c r="D27" s="360">
        <f t="shared" si="11"/>
        <v>0</v>
      </c>
      <c r="E27" s="360">
        <f t="shared" si="11"/>
        <v>0</v>
      </c>
      <c r="F27" s="360">
        <f t="shared" si="11"/>
        <v>0</v>
      </c>
      <c r="G27" s="360">
        <f t="shared" si="11"/>
        <v>46000000</v>
      </c>
      <c r="H27" s="360">
        <f t="shared" si="11"/>
        <v>131100000</v>
      </c>
      <c r="I27" s="329">
        <f t="shared" si="11"/>
        <v>28954098</v>
      </c>
      <c r="J27" s="329">
        <f t="shared" si="11"/>
        <v>7402315</v>
      </c>
      <c r="K27" s="330">
        <f>L27/H27</f>
        <v>0.27731817696414951</v>
      </c>
      <c r="L27" s="331">
        <f>SUM(L28:L37)</f>
        <v>36356413</v>
      </c>
      <c r="M27" s="348">
        <f>SUM(M28:M37)</f>
        <v>94743587</v>
      </c>
      <c r="N27" s="332">
        <f t="shared" si="9"/>
        <v>0.72268182303585049</v>
      </c>
      <c r="P27" s="559">
        <f>H62-107000000-P26</f>
        <v>399625722.07999992</v>
      </c>
    </row>
    <row r="28" spans="1:16" ht="15">
      <c r="A28" s="365">
        <v>202110401</v>
      </c>
      <c r="B28" s="351" t="s">
        <v>78</v>
      </c>
      <c r="C28" s="336">
        <f>'PAC INICIAL 2020'!C65</f>
        <v>56000000</v>
      </c>
      <c r="D28" s="337"/>
      <c r="E28" s="338"/>
      <c r="F28" s="339"/>
      <c r="G28" s="347">
        <f>'LIBRO DE PRESUPUESTO'!H615</f>
        <v>46000000</v>
      </c>
      <c r="H28" s="341">
        <f t="shared" ref="H28:H37" si="12">C28-D28+E28+F28-G28</f>
        <v>10000000</v>
      </c>
      <c r="I28" s="342">
        <f>ABRIL!I28+ABRIL!J28</f>
        <v>102050</v>
      </c>
      <c r="J28" s="2">
        <v>0</v>
      </c>
      <c r="K28" s="343">
        <f t="shared" si="10"/>
        <v>1.0205000000000001E-2</v>
      </c>
      <c r="L28" s="344">
        <f t="shared" ref="L28:L38" si="13">J28+I28</f>
        <v>102050</v>
      </c>
      <c r="M28" s="345">
        <f t="shared" ref="M28:M37" si="14">H28-L28</f>
        <v>9897950</v>
      </c>
      <c r="N28" s="346">
        <f t="shared" si="9"/>
        <v>0.98979499999999998</v>
      </c>
    </row>
    <row r="29" spans="1:16" ht="15">
      <c r="A29" s="334">
        <v>202110402</v>
      </c>
      <c r="B29" s="351" t="s">
        <v>73</v>
      </c>
      <c r="C29" s="336">
        <f>'PAC INICIAL 2020'!C66</f>
        <v>0</v>
      </c>
      <c r="D29" s="337"/>
      <c r="E29" s="338"/>
      <c r="F29" s="339"/>
      <c r="G29" s="347"/>
      <c r="H29" s="341">
        <f t="shared" si="12"/>
        <v>0</v>
      </c>
      <c r="I29" s="342">
        <f>ABRIL!I29+ABRIL!J29</f>
        <v>0</v>
      </c>
      <c r="J29" s="342">
        <v>0</v>
      </c>
      <c r="K29" s="343">
        <v>0</v>
      </c>
      <c r="L29" s="353">
        <f t="shared" si="13"/>
        <v>0</v>
      </c>
      <c r="M29" s="345">
        <f t="shared" si="14"/>
        <v>0</v>
      </c>
      <c r="N29" s="346">
        <v>0</v>
      </c>
    </row>
    <row r="30" spans="1:16" ht="15">
      <c r="A30" s="334">
        <v>202110403</v>
      </c>
      <c r="B30" s="351" t="s">
        <v>81</v>
      </c>
      <c r="C30" s="336">
        <f>'PAC INICIAL 2020'!C67</f>
        <v>3900000</v>
      </c>
      <c r="D30" s="337"/>
      <c r="E30" s="338"/>
      <c r="F30" s="339"/>
      <c r="G30" s="347"/>
      <c r="H30" s="341">
        <f t="shared" si="12"/>
        <v>3900000</v>
      </c>
      <c r="I30" s="342">
        <f>ABRIL!I30+ABRIL!J30</f>
        <v>781500</v>
      </c>
      <c r="J30" s="4">
        <v>201500</v>
      </c>
      <c r="K30" s="343">
        <f t="shared" si="10"/>
        <v>0.25205128205128208</v>
      </c>
      <c r="L30" s="344">
        <f t="shared" si="13"/>
        <v>983000</v>
      </c>
      <c r="M30" s="345">
        <f t="shared" si="14"/>
        <v>2917000</v>
      </c>
      <c r="N30" s="346">
        <f t="shared" ref="N30:N36" si="15">M30/H30</f>
        <v>0.74794871794871798</v>
      </c>
    </row>
    <row r="31" spans="1:16" ht="15">
      <c r="A31" s="334">
        <v>202110404</v>
      </c>
      <c r="B31" s="351" t="s">
        <v>74</v>
      </c>
      <c r="C31" s="336">
        <f>'PAC INICIAL 2020'!C68</f>
        <v>52000000</v>
      </c>
      <c r="D31" s="337"/>
      <c r="E31" s="338"/>
      <c r="F31" s="339"/>
      <c r="G31" s="347"/>
      <c r="H31" s="341">
        <f t="shared" si="12"/>
        <v>52000000</v>
      </c>
      <c r="I31" s="342">
        <f>ABRIL!I31+ABRIL!J31</f>
        <v>14614848</v>
      </c>
      <c r="J31" s="366">
        <v>3735915</v>
      </c>
      <c r="K31" s="343">
        <f t="shared" si="10"/>
        <v>0.35289928846153845</v>
      </c>
      <c r="L31" s="344">
        <f t="shared" si="13"/>
        <v>18350763</v>
      </c>
      <c r="M31" s="345">
        <f t="shared" si="14"/>
        <v>33649237</v>
      </c>
      <c r="N31" s="346">
        <f t="shared" si="15"/>
        <v>0.64710071153846149</v>
      </c>
    </row>
    <row r="32" spans="1:16" ht="15">
      <c r="A32" s="334">
        <v>202110405</v>
      </c>
      <c r="B32" s="351" t="s">
        <v>84</v>
      </c>
      <c r="C32" s="336">
        <f>'PAC INICIAL 2020'!C69</f>
        <v>27000000</v>
      </c>
      <c r="D32" s="337"/>
      <c r="E32" s="338"/>
      <c r="F32" s="339"/>
      <c r="G32" s="347"/>
      <c r="H32" s="341">
        <f t="shared" si="12"/>
        <v>27000000</v>
      </c>
      <c r="I32" s="342">
        <f>ABRIL!I32+ABRIL!J32</f>
        <v>5978200</v>
      </c>
      <c r="J32" s="4">
        <v>1539500</v>
      </c>
      <c r="K32" s="343">
        <f t="shared" si="10"/>
        <v>0.27843333333333331</v>
      </c>
      <c r="L32" s="344">
        <f t="shared" si="13"/>
        <v>7517700</v>
      </c>
      <c r="M32" s="345">
        <f t="shared" si="14"/>
        <v>19482300</v>
      </c>
      <c r="N32" s="346">
        <f t="shared" si="15"/>
        <v>0.72156666666666669</v>
      </c>
    </row>
    <row r="33" spans="1:14" ht="15">
      <c r="A33" s="334">
        <v>202110406</v>
      </c>
      <c r="B33" s="351" t="s">
        <v>86</v>
      </c>
      <c r="C33" s="336">
        <f>'PAC INICIAL 2020'!C70</f>
        <v>23000000</v>
      </c>
      <c r="D33" s="337"/>
      <c r="E33" s="338"/>
      <c r="F33" s="339"/>
      <c r="G33" s="347"/>
      <c r="H33" s="341">
        <f t="shared" si="12"/>
        <v>23000000</v>
      </c>
      <c r="I33" s="342">
        <f>ABRIL!I33+ABRIL!J33</f>
        <v>4483200</v>
      </c>
      <c r="J33" s="4">
        <v>1154500</v>
      </c>
      <c r="K33" s="343">
        <f t="shared" si="10"/>
        <v>0.24511739130434781</v>
      </c>
      <c r="L33" s="344">
        <f t="shared" si="13"/>
        <v>5637700</v>
      </c>
      <c r="M33" s="345">
        <f t="shared" si="14"/>
        <v>17362300</v>
      </c>
      <c r="N33" s="346">
        <f t="shared" si="15"/>
        <v>0.75488260869565216</v>
      </c>
    </row>
    <row r="34" spans="1:14" ht="15">
      <c r="A34" s="334">
        <v>202110407</v>
      </c>
      <c r="B34" s="351" t="s">
        <v>88</v>
      </c>
      <c r="C34" s="336">
        <f>'PAC INICIAL 2020'!C71</f>
        <v>4000000</v>
      </c>
      <c r="D34" s="337"/>
      <c r="E34" s="338"/>
      <c r="F34" s="339"/>
      <c r="G34" s="347"/>
      <c r="H34" s="341">
        <f t="shared" si="12"/>
        <v>4000000</v>
      </c>
      <c r="I34" s="342">
        <f>ABRIL!I34+ABRIL!J34</f>
        <v>749300</v>
      </c>
      <c r="J34" s="4">
        <v>192900</v>
      </c>
      <c r="K34" s="343">
        <f t="shared" si="10"/>
        <v>0.23555000000000001</v>
      </c>
      <c r="L34" s="344">
        <f t="shared" si="13"/>
        <v>942200</v>
      </c>
      <c r="M34" s="345">
        <f t="shared" si="14"/>
        <v>3057800</v>
      </c>
      <c r="N34" s="346">
        <f t="shared" si="15"/>
        <v>0.76444999999999996</v>
      </c>
    </row>
    <row r="35" spans="1:14" ht="15">
      <c r="A35" s="334">
        <v>202110408</v>
      </c>
      <c r="B35" s="351" t="s">
        <v>90</v>
      </c>
      <c r="C35" s="336">
        <f>'PAC INICIAL 2020'!C72</f>
        <v>4000000</v>
      </c>
      <c r="D35" s="337"/>
      <c r="E35" s="338"/>
      <c r="F35" s="339"/>
      <c r="G35" s="347"/>
      <c r="H35" s="341">
        <f t="shared" si="12"/>
        <v>4000000</v>
      </c>
      <c r="I35" s="342">
        <f>ABRIL!I35+ABRIL!J35</f>
        <v>749300</v>
      </c>
      <c r="J35" s="4">
        <v>192900</v>
      </c>
      <c r="K35" s="343">
        <f t="shared" si="10"/>
        <v>0.23555000000000001</v>
      </c>
      <c r="L35" s="344">
        <f t="shared" si="13"/>
        <v>942200</v>
      </c>
      <c r="M35" s="345">
        <f t="shared" si="14"/>
        <v>3057800</v>
      </c>
      <c r="N35" s="346">
        <f t="shared" si="15"/>
        <v>0.76444999999999996</v>
      </c>
    </row>
    <row r="36" spans="1:14" ht="15">
      <c r="A36" s="334">
        <v>202110409</v>
      </c>
      <c r="B36" s="351" t="s">
        <v>92</v>
      </c>
      <c r="C36" s="336">
        <f>'PAC INICIAL 2020'!C73</f>
        <v>7200000</v>
      </c>
      <c r="D36" s="337"/>
      <c r="E36" s="338"/>
      <c r="F36" s="339"/>
      <c r="G36" s="347"/>
      <c r="H36" s="341">
        <f t="shared" si="12"/>
        <v>7200000</v>
      </c>
      <c r="I36" s="342">
        <f>ABRIL!I36+ABRIL!J36</f>
        <v>1495700</v>
      </c>
      <c r="J36" s="4">
        <v>385100</v>
      </c>
      <c r="K36" s="343">
        <f t="shared" si="10"/>
        <v>0.26122222222222224</v>
      </c>
      <c r="L36" s="344">
        <f t="shared" si="13"/>
        <v>1880800</v>
      </c>
      <c r="M36" s="345">
        <f t="shared" si="14"/>
        <v>5319200</v>
      </c>
      <c r="N36" s="346">
        <f t="shared" si="15"/>
        <v>0.73877777777777776</v>
      </c>
    </row>
    <row r="37" spans="1:14" ht="15">
      <c r="A37" s="334">
        <v>202110410</v>
      </c>
      <c r="B37" s="351" t="s">
        <v>94</v>
      </c>
      <c r="C37" s="336">
        <f>'PAC INICIAL 2020'!C74</f>
        <v>0</v>
      </c>
      <c r="D37" s="342"/>
      <c r="E37" s="338"/>
      <c r="F37" s="339"/>
      <c r="G37" s="347"/>
      <c r="H37" s="341">
        <f t="shared" si="12"/>
        <v>0</v>
      </c>
      <c r="I37" s="342">
        <f>ABRIL!I37+ABRIL!J37</f>
        <v>0</v>
      </c>
      <c r="J37" s="342">
        <v>0</v>
      </c>
      <c r="K37" s="343">
        <v>0</v>
      </c>
      <c r="L37" s="353">
        <f t="shared" si="13"/>
        <v>0</v>
      </c>
      <c r="M37" s="345">
        <f t="shared" si="14"/>
        <v>0</v>
      </c>
      <c r="N37" s="346">
        <v>0</v>
      </c>
    </row>
    <row r="38" spans="1:14" s="349" customFormat="1" ht="27.75" customHeight="1">
      <c r="A38" s="327">
        <v>2021201</v>
      </c>
      <c r="B38" s="352" t="s">
        <v>31</v>
      </c>
      <c r="C38" s="329">
        <f t="shared" ref="C38:J38" si="16">SUM(C39:C42)</f>
        <v>21300000</v>
      </c>
      <c r="D38" s="329">
        <f t="shared" si="16"/>
        <v>0</v>
      </c>
      <c r="E38" s="329">
        <f t="shared" si="16"/>
        <v>0</v>
      </c>
      <c r="F38" s="329">
        <f t="shared" si="16"/>
        <v>0</v>
      </c>
      <c r="G38" s="329">
        <f t="shared" si="16"/>
        <v>0</v>
      </c>
      <c r="H38" s="329">
        <f t="shared" si="16"/>
        <v>21300000</v>
      </c>
      <c r="I38" s="329">
        <f t="shared" si="16"/>
        <v>7545200</v>
      </c>
      <c r="J38" s="329">
        <f t="shared" si="16"/>
        <v>0</v>
      </c>
      <c r="K38" s="330">
        <f>L38/H38</f>
        <v>0.35423474178403758</v>
      </c>
      <c r="L38" s="348">
        <f t="shared" si="13"/>
        <v>7545200</v>
      </c>
      <c r="M38" s="329">
        <f>SUM(M39:M42)</f>
        <v>13754800</v>
      </c>
      <c r="N38" s="332">
        <f>M38/H38</f>
        <v>0.64576525821596242</v>
      </c>
    </row>
    <row r="39" spans="1:14" ht="15">
      <c r="A39" s="334">
        <v>202120101</v>
      </c>
      <c r="B39" s="351" t="s">
        <v>33</v>
      </c>
      <c r="C39" s="336">
        <f>'PAC INICIAL 2020'!C38</f>
        <v>6000000</v>
      </c>
      <c r="D39" s="342"/>
      <c r="E39" s="338"/>
      <c r="F39" s="339"/>
      <c r="G39" s="347"/>
      <c r="H39" s="341">
        <f>C39-D39+E39+F39-G39</f>
        <v>6000000</v>
      </c>
      <c r="I39" s="342">
        <f>ABRIL!I39+ABRIL!J39</f>
        <v>3600000</v>
      </c>
      <c r="J39" s="2">
        <v>0</v>
      </c>
      <c r="K39" s="343">
        <v>0</v>
      </c>
      <c r="L39" s="344">
        <f t="shared" si="6"/>
        <v>3600000</v>
      </c>
      <c r="M39" s="345">
        <f t="shared" si="3"/>
        <v>2400000</v>
      </c>
      <c r="N39" s="346">
        <v>0</v>
      </c>
    </row>
    <row r="40" spans="1:14" ht="15">
      <c r="A40" s="334">
        <v>202120102</v>
      </c>
      <c r="B40" s="354" t="s">
        <v>35</v>
      </c>
      <c r="C40" s="336">
        <f>'PAC INICIAL 2020'!C39</f>
        <v>14000000</v>
      </c>
      <c r="D40" s="342"/>
      <c r="E40" s="338"/>
      <c r="F40" s="339"/>
      <c r="G40" s="347"/>
      <c r="H40" s="341">
        <f>C40-D40+E40+F40-G40</f>
        <v>14000000</v>
      </c>
      <c r="I40" s="342">
        <f>ABRIL!I40+ABRIL!J40</f>
        <v>3945200</v>
      </c>
      <c r="J40" s="342">
        <v>0</v>
      </c>
      <c r="K40" s="343">
        <f>L40/H40</f>
        <v>0.28179999999999999</v>
      </c>
      <c r="L40" s="344">
        <f t="shared" si="6"/>
        <v>3945200</v>
      </c>
      <c r="M40" s="345">
        <f t="shared" si="3"/>
        <v>10054800</v>
      </c>
      <c r="N40" s="355">
        <f>M40/H40</f>
        <v>0.71819999999999995</v>
      </c>
    </row>
    <row r="41" spans="1:14" ht="15">
      <c r="A41" s="334">
        <v>202120104</v>
      </c>
      <c r="B41" s="351" t="s">
        <v>37</v>
      </c>
      <c r="C41" s="336">
        <f>'PAC INICIAL 2020'!C40</f>
        <v>1300000</v>
      </c>
      <c r="D41" s="342"/>
      <c r="E41" s="338"/>
      <c r="F41" s="339"/>
      <c r="G41" s="356"/>
      <c r="H41" s="341">
        <f>C41-D41+E41+F41-G41</f>
        <v>1300000</v>
      </c>
      <c r="I41" s="342">
        <f>ABRIL!I41+ABRIL!J41</f>
        <v>0</v>
      </c>
      <c r="J41" s="342">
        <v>0</v>
      </c>
      <c r="K41" s="343">
        <f>L41/H41</f>
        <v>0</v>
      </c>
      <c r="L41" s="344">
        <f t="shared" si="6"/>
        <v>0</v>
      </c>
      <c r="M41" s="345">
        <f t="shared" si="3"/>
        <v>1300000</v>
      </c>
      <c r="N41" s="355">
        <f>M41/H41</f>
        <v>1</v>
      </c>
    </row>
    <row r="42" spans="1:14" ht="15">
      <c r="A42" s="334">
        <v>202120105</v>
      </c>
      <c r="B42" s="351" t="s">
        <v>39</v>
      </c>
      <c r="C42" s="336">
        <f>'PAC INICIAL 2020'!C41</f>
        <v>0</v>
      </c>
      <c r="D42" s="342"/>
      <c r="E42" s="338"/>
      <c r="F42" s="339"/>
      <c r="G42" s="347"/>
      <c r="H42" s="341">
        <f>C42-D42+E42+F42-G42</f>
        <v>0</v>
      </c>
      <c r="I42" s="342">
        <f>ABRIL!I42+ABRIL!J42</f>
        <v>0</v>
      </c>
      <c r="J42" s="342">
        <v>0</v>
      </c>
      <c r="K42" s="343">
        <v>0</v>
      </c>
      <c r="L42" s="353">
        <f t="shared" si="6"/>
        <v>0</v>
      </c>
      <c r="M42" s="345">
        <f t="shared" si="3"/>
        <v>0</v>
      </c>
      <c r="N42" s="355">
        <v>0</v>
      </c>
    </row>
    <row r="43" spans="1:14" s="349" customFormat="1" ht="27.75" customHeight="1">
      <c r="A43" s="327">
        <v>2021202</v>
      </c>
      <c r="B43" s="352" t="s">
        <v>41</v>
      </c>
      <c r="C43" s="329">
        <f t="shared" ref="C43:J43" si="17">SUM(C44:C59)</f>
        <v>127719000</v>
      </c>
      <c r="D43" s="329">
        <f t="shared" si="17"/>
        <v>0</v>
      </c>
      <c r="E43" s="329">
        <f t="shared" si="17"/>
        <v>0</v>
      </c>
      <c r="F43" s="329">
        <f t="shared" si="17"/>
        <v>13500000</v>
      </c>
      <c r="G43" s="329">
        <f t="shared" si="17"/>
        <v>0</v>
      </c>
      <c r="H43" s="329">
        <f t="shared" si="17"/>
        <v>141219000</v>
      </c>
      <c r="I43" s="329">
        <f t="shared" si="17"/>
        <v>27170546</v>
      </c>
      <c r="J43" s="329">
        <f t="shared" si="17"/>
        <v>817771</v>
      </c>
      <c r="K43" s="330">
        <f t="shared" ref="K43:K50" si="18">L43/H43</f>
        <v>0.19819087374928304</v>
      </c>
      <c r="L43" s="331">
        <f>I43+J43</f>
        <v>27988317</v>
      </c>
      <c r="M43" s="348">
        <f>SUM(M44:M59)</f>
        <v>113230683</v>
      </c>
      <c r="N43" s="332">
        <f t="shared" ref="N43:N48" si="19">M43/H43</f>
        <v>0.80180912625071699</v>
      </c>
    </row>
    <row r="44" spans="1:14" ht="15">
      <c r="A44" s="334">
        <v>202120201</v>
      </c>
      <c r="B44" s="351" t="s">
        <v>43</v>
      </c>
      <c r="C44" s="336">
        <f>'PAC INICIAL 2020'!C43</f>
        <v>9000000</v>
      </c>
      <c r="D44" s="342"/>
      <c r="E44" s="338"/>
      <c r="F44" s="339">
        <f>'LIBRO DE PRESUPUESTO'!G227</f>
        <v>10000000</v>
      </c>
      <c r="G44" s="347"/>
      <c r="H44" s="341">
        <f t="shared" ref="H44:H58" si="20">C44-D44+E44+F44-G44</f>
        <v>19000000</v>
      </c>
      <c r="I44" s="342">
        <f>ABRIL!I44+ABRIL!J44</f>
        <v>3922000</v>
      </c>
      <c r="J44" s="342">
        <v>0</v>
      </c>
      <c r="K44" s="343">
        <f t="shared" si="18"/>
        <v>0.20642105263157895</v>
      </c>
      <c r="L44" s="344">
        <f t="shared" si="6"/>
        <v>3922000</v>
      </c>
      <c r="M44" s="345">
        <f t="shared" si="3"/>
        <v>15078000</v>
      </c>
      <c r="N44" s="355">
        <f t="shared" si="19"/>
        <v>0.79357894736842105</v>
      </c>
    </row>
    <row r="45" spans="1:14" ht="15">
      <c r="A45" s="334">
        <v>202120202</v>
      </c>
      <c r="B45" s="351" t="s">
        <v>44</v>
      </c>
      <c r="C45" s="336">
        <f>'PAC INICIAL 2020'!C44</f>
        <v>52500000</v>
      </c>
      <c r="D45" s="342"/>
      <c r="E45" s="338"/>
      <c r="F45" s="339"/>
      <c r="G45" s="347"/>
      <c r="H45" s="341">
        <f t="shared" si="20"/>
        <v>52500000</v>
      </c>
      <c r="I45" s="342">
        <f>ABRIL!I45+ABRIL!J45</f>
        <v>13413870</v>
      </c>
      <c r="J45" s="342">
        <v>0</v>
      </c>
      <c r="K45" s="343">
        <f t="shared" si="18"/>
        <v>0.25550228571428574</v>
      </c>
      <c r="L45" s="344">
        <f t="shared" si="6"/>
        <v>13413870</v>
      </c>
      <c r="M45" s="345">
        <f t="shared" si="3"/>
        <v>39086130</v>
      </c>
      <c r="N45" s="355">
        <f t="shared" si="19"/>
        <v>0.74449771428571432</v>
      </c>
    </row>
    <row r="46" spans="1:14" ht="15">
      <c r="A46" s="334">
        <v>202120203</v>
      </c>
      <c r="B46" s="351" t="s">
        <v>46</v>
      </c>
      <c r="C46" s="336">
        <f>'PAC INICIAL 2020'!C45</f>
        <v>2000000</v>
      </c>
      <c r="D46" s="342"/>
      <c r="E46" s="338"/>
      <c r="F46" s="339"/>
      <c r="G46" s="347"/>
      <c r="H46" s="341">
        <f t="shared" si="20"/>
        <v>2000000</v>
      </c>
      <c r="I46" s="342">
        <f>ABRIL!I46+ABRIL!J46</f>
        <v>670600</v>
      </c>
      <c r="J46" s="4">
        <v>0</v>
      </c>
      <c r="K46" s="343">
        <f t="shared" si="18"/>
        <v>0.33529999999999999</v>
      </c>
      <c r="L46" s="344">
        <f t="shared" si="6"/>
        <v>670600</v>
      </c>
      <c r="M46" s="345">
        <f t="shared" si="3"/>
        <v>1329400</v>
      </c>
      <c r="N46" s="355">
        <f t="shared" si="19"/>
        <v>0.66469999999999996</v>
      </c>
    </row>
    <row r="47" spans="1:14" ht="15">
      <c r="A47" s="334">
        <v>202120204</v>
      </c>
      <c r="B47" s="351" t="s">
        <v>48</v>
      </c>
      <c r="C47" s="336">
        <f>'PAC INICIAL 2020'!C46</f>
        <v>11619000</v>
      </c>
      <c r="D47" s="342"/>
      <c r="E47" s="338"/>
      <c r="F47" s="339"/>
      <c r="G47" s="347"/>
      <c r="H47" s="341">
        <f t="shared" si="20"/>
        <v>11619000</v>
      </c>
      <c r="I47" s="342">
        <f>ABRIL!I47+ABRIL!J47</f>
        <v>3413500</v>
      </c>
      <c r="J47" s="4">
        <f>'LIBRO DE PRESUPUESTO'!J406</f>
        <v>404600</v>
      </c>
      <c r="K47" s="343">
        <f t="shared" si="18"/>
        <v>0.32860831396849988</v>
      </c>
      <c r="L47" s="344">
        <f t="shared" si="6"/>
        <v>3818100</v>
      </c>
      <c r="M47" s="345">
        <f t="shared" si="3"/>
        <v>7800900</v>
      </c>
      <c r="N47" s="346">
        <f t="shared" si="19"/>
        <v>0.67139168603150012</v>
      </c>
    </row>
    <row r="48" spans="1:14" ht="15">
      <c r="A48" s="334">
        <v>202120205</v>
      </c>
      <c r="B48" s="351" t="s">
        <v>50</v>
      </c>
      <c r="C48" s="336">
        <f>'PAC INICIAL 2020'!C47</f>
        <v>8000000</v>
      </c>
      <c r="D48" s="342"/>
      <c r="E48" s="338"/>
      <c r="F48" s="339"/>
      <c r="G48" s="347"/>
      <c r="H48" s="341">
        <f t="shared" si="20"/>
        <v>8000000</v>
      </c>
      <c r="I48" s="342">
        <f>ABRIL!I48+ABRIL!J48</f>
        <v>1286561</v>
      </c>
      <c r="J48" s="4">
        <f>'LIBRO DE PRESUPUESTO'!J425+'LIBRO DE PRESUPUESTO'!J426</f>
        <v>322216</v>
      </c>
      <c r="K48" s="343">
        <f t="shared" si="18"/>
        <v>0.20109712499999999</v>
      </c>
      <c r="L48" s="344">
        <f t="shared" si="6"/>
        <v>1608777</v>
      </c>
      <c r="M48" s="345">
        <f t="shared" si="3"/>
        <v>6391223</v>
      </c>
      <c r="N48" s="346">
        <f t="shared" si="19"/>
        <v>0.79890287500000001</v>
      </c>
    </row>
    <row r="49" spans="1:16" ht="15">
      <c r="A49" s="334">
        <v>202120206</v>
      </c>
      <c r="B49" s="351" t="s">
        <v>52</v>
      </c>
      <c r="C49" s="336">
        <f>'PAC INICIAL 2020'!C48</f>
        <v>2500000</v>
      </c>
      <c r="D49" s="342"/>
      <c r="E49" s="338"/>
      <c r="F49" s="339"/>
      <c r="G49" s="347"/>
      <c r="H49" s="341">
        <f t="shared" si="20"/>
        <v>2500000</v>
      </c>
      <c r="I49" s="342">
        <f>ABRIL!I49+ABRIL!J49</f>
        <v>367150</v>
      </c>
      <c r="J49" s="2">
        <f>'LIBRO DE PRESUPUESTO'!J462+'LIBRO DE PRESUPUESTO'!J463</f>
        <v>90955</v>
      </c>
      <c r="K49" s="343">
        <f t="shared" si="18"/>
        <v>0.18324199999999999</v>
      </c>
      <c r="L49" s="344">
        <f t="shared" si="6"/>
        <v>458105</v>
      </c>
      <c r="M49" s="345">
        <f t="shared" si="3"/>
        <v>2041895</v>
      </c>
      <c r="N49" s="346">
        <v>0</v>
      </c>
    </row>
    <row r="50" spans="1:16" ht="15">
      <c r="A50" s="334">
        <v>202120207</v>
      </c>
      <c r="B50" s="354" t="s">
        <v>54</v>
      </c>
      <c r="C50" s="336">
        <f>'PAC INICIAL 2020'!C49</f>
        <v>1500000</v>
      </c>
      <c r="D50" s="342"/>
      <c r="E50" s="338"/>
      <c r="F50" s="339"/>
      <c r="G50" s="347"/>
      <c r="H50" s="341">
        <f t="shared" si="20"/>
        <v>1500000</v>
      </c>
      <c r="I50" s="342">
        <f>ABRIL!I50+ABRIL!J50</f>
        <v>0</v>
      </c>
      <c r="J50" s="342">
        <v>0</v>
      </c>
      <c r="K50" s="343">
        <f t="shared" si="18"/>
        <v>0</v>
      </c>
      <c r="L50" s="344">
        <f t="shared" si="6"/>
        <v>0</v>
      </c>
      <c r="M50" s="345">
        <f t="shared" si="3"/>
        <v>1500000</v>
      </c>
      <c r="N50" s="346">
        <f>M50/H50</f>
        <v>1</v>
      </c>
    </row>
    <row r="51" spans="1:16" ht="15">
      <c r="A51" s="334">
        <v>202120208</v>
      </c>
      <c r="B51" s="351" t="s">
        <v>56</v>
      </c>
      <c r="C51" s="336">
        <f>'PAC INICIAL 2020'!C50</f>
        <v>0</v>
      </c>
      <c r="D51" s="342"/>
      <c r="E51" s="338"/>
      <c r="F51" s="357"/>
      <c r="G51" s="347"/>
      <c r="H51" s="341">
        <f t="shared" si="20"/>
        <v>0</v>
      </c>
      <c r="I51" s="342">
        <f>ABRIL!I51+ABRIL!J51</f>
        <v>0</v>
      </c>
      <c r="J51" s="342">
        <v>0</v>
      </c>
      <c r="K51" s="343">
        <v>0</v>
      </c>
      <c r="L51" s="344">
        <f t="shared" si="6"/>
        <v>0</v>
      </c>
      <c r="M51" s="345">
        <f t="shared" si="3"/>
        <v>0</v>
      </c>
      <c r="N51" s="346">
        <v>0</v>
      </c>
    </row>
    <row r="52" spans="1:16" ht="15">
      <c r="A52" s="334">
        <v>202120209</v>
      </c>
      <c r="B52" s="351" t="s">
        <v>58</v>
      </c>
      <c r="C52" s="336">
        <f>'PAC INICIAL 2020'!C51</f>
        <v>9400000</v>
      </c>
      <c r="D52" s="342"/>
      <c r="E52" s="338"/>
      <c r="F52" s="339"/>
      <c r="G52" s="347"/>
      <c r="H52" s="341">
        <f t="shared" si="20"/>
        <v>9400000</v>
      </c>
      <c r="I52" s="342">
        <f>ABRIL!I52+ABRIL!J52</f>
        <v>1466865</v>
      </c>
      <c r="J52" s="6">
        <v>0</v>
      </c>
      <c r="K52" s="343">
        <f>L52/H52</f>
        <v>0.15604946808510639</v>
      </c>
      <c r="L52" s="344">
        <f t="shared" si="6"/>
        <v>1466865</v>
      </c>
      <c r="M52" s="345">
        <f t="shared" si="3"/>
        <v>7933135</v>
      </c>
      <c r="N52" s="346">
        <f>M52/H52</f>
        <v>0.84395053191489366</v>
      </c>
    </row>
    <row r="53" spans="1:16" ht="15">
      <c r="A53" s="334">
        <v>202120210</v>
      </c>
      <c r="B53" s="354" t="s">
        <v>60</v>
      </c>
      <c r="C53" s="336">
        <f>'PAC INICIAL 2020'!C52</f>
        <v>10000000</v>
      </c>
      <c r="D53" s="342"/>
      <c r="E53" s="338"/>
      <c r="F53" s="339"/>
      <c r="G53" s="347"/>
      <c r="H53" s="341">
        <f t="shared" si="20"/>
        <v>10000000</v>
      </c>
      <c r="I53" s="342">
        <f>ABRIL!I53+ABRIL!J53</f>
        <v>1500000</v>
      </c>
      <c r="J53" s="6">
        <v>0</v>
      </c>
      <c r="K53" s="343">
        <f>L53/H53</f>
        <v>0.15</v>
      </c>
      <c r="L53" s="344">
        <f t="shared" si="6"/>
        <v>1500000</v>
      </c>
      <c r="M53" s="345">
        <f t="shared" si="3"/>
        <v>8500000</v>
      </c>
      <c r="N53" s="346">
        <f>M53/H53</f>
        <v>0.85</v>
      </c>
    </row>
    <row r="54" spans="1:16" ht="15">
      <c r="A54" s="334">
        <v>202120211</v>
      </c>
      <c r="B54" s="351" t="s">
        <v>62</v>
      </c>
      <c r="C54" s="336">
        <f>'PAC INICIAL 2020'!C53</f>
        <v>4000000</v>
      </c>
      <c r="D54" s="342"/>
      <c r="E54" s="338"/>
      <c r="F54" s="339"/>
      <c r="G54" s="347"/>
      <c r="H54" s="341">
        <f t="shared" si="20"/>
        <v>4000000</v>
      </c>
      <c r="I54" s="342">
        <f>ABRIL!I54+ABRIL!J54</f>
        <v>1130000</v>
      </c>
      <c r="J54" s="6">
        <v>0</v>
      </c>
      <c r="K54" s="343">
        <v>0</v>
      </c>
      <c r="L54" s="344">
        <f t="shared" si="6"/>
        <v>1130000</v>
      </c>
      <c r="M54" s="345">
        <f t="shared" si="3"/>
        <v>2870000</v>
      </c>
      <c r="N54" s="346">
        <v>0</v>
      </c>
    </row>
    <row r="55" spans="1:16" ht="15">
      <c r="A55" s="334">
        <v>202120212</v>
      </c>
      <c r="B55" s="351" t="s">
        <v>64</v>
      </c>
      <c r="C55" s="336">
        <f>'PAC INICIAL 2020'!C54</f>
        <v>15000000</v>
      </c>
      <c r="D55" s="342"/>
      <c r="E55" s="338"/>
      <c r="F55" s="339"/>
      <c r="G55" s="347"/>
      <c r="H55" s="341">
        <f t="shared" si="20"/>
        <v>15000000</v>
      </c>
      <c r="I55" s="342">
        <f>ABRIL!I55+ABRIL!J55</f>
        <v>0</v>
      </c>
      <c r="J55" s="342">
        <v>0</v>
      </c>
      <c r="K55" s="343">
        <v>0</v>
      </c>
      <c r="L55" s="344">
        <f t="shared" si="6"/>
        <v>0</v>
      </c>
      <c r="M55" s="345">
        <f t="shared" si="3"/>
        <v>15000000</v>
      </c>
      <c r="N55" s="346">
        <v>0</v>
      </c>
    </row>
    <row r="56" spans="1:16" ht="15">
      <c r="A56" s="334">
        <v>202120213</v>
      </c>
      <c r="B56" s="351" t="s">
        <v>65</v>
      </c>
      <c r="C56" s="336">
        <f>'PAC INICIAL 2020'!C55</f>
        <v>0</v>
      </c>
      <c r="D56" s="342"/>
      <c r="E56" s="338"/>
      <c r="F56" s="339"/>
      <c r="G56" s="347"/>
      <c r="H56" s="341">
        <f t="shared" si="20"/>
        <v>0</v>
      </c>
      <c r="I56" s="342">
        <f>ABRIL!I56+ABRIL!J56</f>
        <v>0</v>
      </c>
      <c r="J56" s="342">
        <v>0</v>
      </c>
      <c r="K56" s="343">
        <v>0</v>
      </c>
      <c r="L56" s="344">
        <f t="shared" si="6"/>
        <v>0</v>
      </c>
      <c r="M56" s="345">
        <f t="shared" si="3"/>
        <v>0</v>
      </c>
      <c r="N56" s="346">
        <v>0</v>
      </c>
    </row>
    <row r="57" spans="1:16" ht="15">
      <c r="A57" s="334">
        <v>202120214</v>
      </c>
      <c r="B57" s="351" t="s">
        <v>67</v>
      </c>
      <c r="C57" s="336">
        <f>'PAC INICIAL 2020'!C56</f>
        <v>0</v>
      </c>
      <c r="D57" s="342"/>
      <c r="E57" s="338"/>
      <c r="F57" s="339">
        <f>'LIBRO DE PRESUPUESTO'!G536</f>
        <v>3500000</v>
      </c>
      <c r="G57" s="347"/>
      <c r="H57" s="341">
        <f t="shared" si="20"/>
        <v>3500000</v>
      </c>
      <c r="I57" s="342">
        <f>ABRIL!I57+ABRIL!J57</f>
        <v>0</v>
      </c>
      <c r="J57" s="342">
        <v>0</v>
      </c>
      <c r="K57" s="343">
        <v>0</v>
      </c>
      <c r="L57" s="344">
        <f t="shared" si="6"/>
        <v>0</v>
      </c>
      <c r="M57" s="345">
        <f t="shared" si="3"/>
        <v>3500000</v>
      </c>
      <c r="N57" s="346">
        <v>0</v>
      </c>
    </row>
    <row r="58" spans="1:16" ht="15">
      <c r="A58" s="358">
        <v>202120215</v>
      </c>
      <c r="B58" s="351" t="s">
        <v>97</v>
      </c>
      <c r="C58" s="336">
        <f>'PAC INICIAL 2020'!C57</f>
        <v>1200000</v>
      </c>
      <c r="D58" s="342"/>
      <c r="E58" s="338"/>
      <c r="F58" s="339"/>
      <c r="G58" s="347"/>
      <c r="H58" s="341">
        <f t="shared" si="20"/>
        <v>1200000</v>
      </c>
      <c r="I58" s="342">
        <f>ABRIL!I58+ABRIL!J58</f>
        <v>0</v>
      </c>
      <c r="J58" s="342">
        <v>0</v>
      </c>
      <c r="K58" s="343">
        <f>L58/H58</f>
        <v>0</v>
      </c>
      <c r="L58" s="344">
        <f t="shared" si="6"/>
        <v>0</v>
      </c>
      <c r="M58" s="345">
        <f t="shared" si="3"/>
        <v>1200000</v>
      </c>
      <c r="N58" s="346">
        <f>M58/H58</f>
        <v>1</v>
      </c>
    </row>
    <row r="59" spans="1:16" ht="15">
      <c r="A59" s="358">
        <v>202120216</v>
      </c>
      <c r="B59" s="351" t="s">
        <v>148</v>
      </c>
      <c r="C59" s="336">
        <f>'PAC INICIAL 2020'!C58</f>
        <v>1000000</v>
      </c>
      <c r="D59" s="342"/>
      <c r="E59" s="338"/>
      <c r="F59" s="339"/>
      <c r="G59" s="347"/>
      <c r="H59" s="341">
        <f>C59-D59+E59+F59-G59</f>
        <v>1000000</v>
      </c>
      <c r="I59" s="342">
        <f>ABRIL!I59+ABRIL!J59</f>
        <v>0</v>
      </c>
      <c r="J59" s="342">
        <v>0</v>
      </c>
      <c r="K59" s="343">
        <f>L59/H59</f>
        <v>0</v>
      </c>
      <c r="L59" s="344">
        <f t="shared" si="6"/>
        <v>0</v>
      </c>
      <c r="M59" s="345">
        <f>H59-L59</f>
        <v>1000000</v>
      </c>
      <c r="N59" s="346">
        <f>M59/H59</f>
        <v>1</v>
      </c>
    </row>
    <row r="60" spans="1:16" ht="27" customHeight="1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0</v>
      </c>
      <c r="H60" s="329">
        <f>SUM(H61:H61)</f>
        <v>75000000</v>
      </c>
      <c r="I60" s="329">
        <f>SUM(I61:I61)</f>
        <v>31645000</v>
      </c>
      <c r="J60" s="329">
        <f>SUM(J61:J61)</f>
        <v>0</v>
      </c>
      <c r="K60" s="330">
        <f>K61</f>
        <v>1</v>
      </c>
      <c r="L60" s="331">
        <f>L61</f>
        <v>31645000</v>
      </c>
      <c r="M60" s="348">
        <f>SUM(M61:M61)</f>
        <v>43355000</v>
      </c>
      <c r="N60" s="332">
        <v>0</v>
      </c>
      <c r="P60" s="361"/>
    </row>
    <row r="61" spans="1:16" ht="15">
      <c r="A61" s="368">
        <v>202130101</v>
      </c>
      <c r="B61" s="369" t="s">
        <v>96</v>
      </c>
      <c r="C61" s="336">
        <f>'PAC INICIAL 2020'!C76</f>
        <v>75000000</v>
      </c>
      <c r="D61" s="370">
        <v>0</v>
      </c>
      <c r="E61" s="371"/>
      <c r="F61" s="372"/>
      <c r="G61" s="373"/>
      <c r="H61" s="341">
        <f>C61-D61+E61+F61-G61</f>
        <v>75000000</v>
      </c>
      <c r="I61" s="342">
        <f>ABRIL!I61+ABRIL!J61</f>
        <v>31645000</v>
      </c>
      <c r="J61" s="370">
        <v>0</v>
      </c>
      <c r="K61" s="343">
        <v>1</v>
      </c>
      <c r="L61" s="344">
        <f>J61+I61</f>
        <v>31645000</v>
      </c>
      <c r="M61" s="345">
        <f t="shared" si="3"/>
        <v>43355000</v>
      </c>
      <c r="N61" s="346">
        <v>0</v>
      </c>
      <c r="P61" s="361"/>
    </row>
    <row r="62" spans="1:16" s="380" customFormat="1" ht="31.5" customHeight="1" thickBot="1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167244166</v>
      </c>
      <c r="F62" s="377">
        <f>F8+F18+F38+F43++F22+F27+F60</f>
        <v>61500000</v>
      </c>
      <c r="G62" s="377">
        <f>G8+G18+G38+G43+G22+G27+G60</f>
        <v>61500000</v>
      </c>
      <c r="H62" s="377">
        <f>H8+H18+H38+H43+H22+H27+H60</f>
        <v>1322370231</v>
      </c>
      <c r="I62" s="377">
        <f>I8+I18+I38+I43+I22+I27+I60</f>
        <v>336494316</v>
      </c>
      <c r="J62" s="377">
        <f>J8+J18+J38+J43+J22+J27+J60</f>
        <v>55012510</v>
      </c>
      <c r="K62" s="378">
        <f>L62/H62</f>
        <v>0.29606445821450134</v>
      </c>
      <c r="L62" s="377">
        <f>L8+L18+L38+L43+L22+L27+L60</f>
        <v>391506826</v>
      </c>
      <c r="M62" s="377">
        <f>M8+M18+M38+M43+M22+M27+M60</f>
        <v>930863405</v>
      </c>
      <c r="N62" s="379">
        <f>M62/H62</f>
        <v>0.70393554178549866</v>
      </c>
    </row>
    <row r="63" spans="1:16" ht="35.25" customHeight="1" thickBot="1">
      <c r="A63" s="381" t="s">
        <v>172</v>
      </c>
      <c r="B63" s="691" t="s">
        <v>173</v>
      </c>
      <c r="C63" s="692"/>
      <c r="D63" s="692"/>
      <c r="E63" s="692"/>
      <c r="F63" s="692"/>
      <c r="G63" s="692"/>
      <c r="H63" s="692"/>
      <c r="I63" s="692"/>
      <c r="J63" s="692"/>
      <c r="K63" s="692"/>
      <c r="L63" s="692"/>
      <c r="M63" s="692"/>
      <c r="N63" s="693"/>
      <c r="P63" s="382"/>
    </row>
    <row r="65" spans="4:13">
      <c r="D65" s="382"/>
      <c r="E65" s="382"/>
      <c r="F65" s="382"/>
      <c r="G65" s="382"/>
      <c r="M65" s="382"/>
    </row>
    <row r="66" spans="4:13">
      <c r="G66" s="382"/>
      <c r="I66" s="382"/>
      <c r="J66" s="385"/>
      <c r="M66" s="382"/>
    </row>
    <row r="67" spans="4:13">
      <c r="D67" s="382"/>
      <c r="J67" s="382"/>
      <c r="K67" s="382"/>
      <c r="M67" s="382"/>
    </row>
    <row r="68" spans="4:13">
      <c r="H68" s="382"/>
      <c r="J68" s="382"/>
      <c r="M68" s="382"/>
    </row>
    <row r="69" spans="4:13">
      <c r="J69" s="382"/>
    </row>
  </sheetData>
  <mergeCells count="5">
    <mergeCell ref="A1:N1"/>
    <mergeCell ref="A2:N2"/>
    <mergeCell ref="A3:N3"/>
    <mergeCell ref="K5:K6"/>
    <mergeCell ref="B63:N63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zoomScale="80" zoomScaleNormal="80" zoomScaleSheetLayoutView="80" workbookViewId="0">
      <pane xSplit="2" ySplit="7" topLeftCell="C35" activePane="bottomRight" state="frozen"/>
      <selection activeCell="J228" sqref="J228"/>
      <selection pane="topRight" activeCell="J228" sqref="J228"/>
      <selection pane="bottomLeft" activeCell="J228" sqref="J228"/>
      <selection pane="bottomRight" activeCell="J228" sqref="J228"/>
    </sheetView>
  </sheetViews>
  <sheetFormatPr baseColWidth="10" defaultRowHeight="14.25"/>
  <cols>
    <col min="1" max="1" width="16" style="383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6.87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>
      <c r="A1" s="679" t="s">
        <v>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</row>
    <row r="2" spans="1:14" ht="18">
      <c r="A2" s="680" t="s">
        <v>156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</row>
    <row r="3" spans="1:14" ht="18">
      <c r="A3" s="680" t="s">
        <v>237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</row>
    <row r="4" spans="1:14" ht="18.75" thickBot="1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0"/>
      <c r="N4" s="303"/>
    </row>
    <row r="5" spans="1:14" ht="23.25" customHeight="1">
      <c r="A5" s="304" t="s">
        <v>157</v>
      </c>
      <c r="B5" s="305" t="s">
        <v>1</v>
      </c>
      <c r="C5" s="306" t="s">
        <v>158</v>
      </c>
      <c r="D5" s="307" t="s">
        <v>159</v>
      </c>
      <c r="E5" s="308" t="s">
        <v>160</v>
      </c>
      <c r="F5" s="308" t="s">
        <v>2</v>
      </c>
      <c r="G5" s="306" t="s">
        <v>161</v>
      </c>
      <c r="H5" s="307" t="s">
        <v>162</v>
      </c>
      <c r="I5" s="308" t="s">
        <v>207</v>
      </c>
      <c r="J5" s="306" t="s">
        <v>164</v>
      </c>
      <c r="K5" s="689" t="s">
        <v>165</v>
      </c>
      <c r="L5" s="309" t="s">
        <v>162</v>
      </c>
      <c r="M5" s="306" t="s">
        <v>166</v>
      </c>
      <c r="N5" s="310" t="s">
        <v>165</v>
      </c>
    </row>
    <row r="6" spans="1:14" ht="23.25" customHeight="1" thickBot="1">
      <c r="A6" s="311"/>
      <c r="B6" s="312"/>
      <c r="C6" s="313" t="s">
        <v>3</v>
      </c>
      <c r="D6" s="314"/>
      <c r="E6" s="315"/>
      <c r="F6" s="315"/>
      <c r="G6" s="313" t="s">
        <v>2</v>
      </c>
      <c r="H6" s="314" t="s">
        <v>158</v>
      </c>
      <c r="I6" s="316" t="s">
        <v>167</v>
      </c>
      <c r="J6" s="313" t="s">
        <v>168</v>
      </c>
      <c r="K6" s="690"/>
      <c r="L6" s="317" t="s">
        <v>169</v>
      </c>
      <c r="M6" s="313" t="s">
        <v>170</v>
      </c>
      <c r="N6" s="318"/>
    </row>
    <row r="7" spans="1:14" ht="1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5"/>
      <c r="N7" s="326"/>
    </row>
    <row r="8" spans="1:14" s="333" customFormat="1" ht="27.75" customHeight="1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167244166</v>
      </c>
      <c r="F8" s="329">
        <f t="shared" si="0"/>
        <v>0</v>
      </c>
      <c r="G8" s="329">
        <f t="shared" si="0"/>
        <v>11500000</v>
      </c>
      <c r="H8" s="329">
        <f t="shared" si="0"/>
        <v>806121490</v>
      </c>
      <c r="I8" s="329">
        <f t="shared" si="0"/>
        <v>117450512</v>
      </c>
      <c r="J8" s="329">
        <f>SUM(J9:J17)</f>
        <v>49808482</v>
      </c>
      <c r="K8" s="330">
        <f t="shared" ref="K8:K19" si="1">L8/H8</f>
        <v>0.20748608748787978</v>
      </c>
      <c r="L8" s="331">
        <f>I8+J8</f>
        <v>167258994</v>
      </c>
      <c r="M8" s="329">
        <f>SUM(M9:M17)</f>
        <v>638862496</v>
      </c>
      <c r="N8" s="332">
        <f>M8/H8</f>
        <v>0.79251391251212022</v>
      </c>
    </row>
    <row r="9" spans="1:14" ht="1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</f>
        <v>11500000</v>
      </c>
      <c r="H9" s="341">
        <f>C9-D9+E9+F9-G9</f>
        <v>476731324</v>
      </c>
      <c r="I9" s="342">
        <f>MARZO!I9+MARZO!J9</f>
        <v>111397084</v>
      </c>
      <c r="J9" s="4">
        <f>'LIBRO DE PRESUPUESTO'!J11</f>
        <v>38000126</v>
      </c>
      <c r="K9" s="343">
        <f t="shared" si="1"/>
        <v>0.3133782121688316</v>
      </c>
      <c r="L9" s="344">
        <f t="shared" ref="L9:L15" si="2">J9+I9</f>
        <v>149397210</v>
      </c>
      <c r="M9" s="345">
        <f t="shared" ref="M9:M61" si="3">H9-L9</f>
        <v>327334114</v>
      </c>
      <c r="N9" s="346">
        <f>M9/H9</f>
        <v>0.68662178783116845</v>
      </c>
    </row>
    <row r="10" spans="1:14" ht="15">
      <c r="A10" s="334">
        <v>202110101</v>
      </c>
      <c r="B10" s="335" t="s">
        <v>217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f>MARZO!I10+MARZO!J10</f>
        <v>0</v>
      </c>
      <c r="J10" s="4">
        <v>0</v>
      </c>
      <c r="K10" s="343">
        <f t="shared" si="1"/>
        <v>0</v>
      </c>
      <c r="L10" s="344">
        <f t="shared" si="2"/>
        <v>0</v>
      </c>
      <c r="M10" s="345">
        <f t="shared" si="3"/>
        <v>167244166</v>
      </c>
      <c r="N10" s="346">
        <f>M10/H10</f>
        <v>1</v>
      </c>
    </row>
    <row r="11" spans="1:14" ht="15">
      <c r="A11" s="334">
        <v>202110103</v>
      </c>
      <c r="B11" s="335" t="s">
        <v>11</v>
      </c>
      <c r="C11" s="336">
        <f>'PAC INICIAL 2020'!C25</f>
        <v>1246000</v>
      </c>
      <c r="D11" s="337"/>
      <c r="E11" s="338"/>
      <c r="F11" s="339"/>
      <c r="G11" s="347"/>
      <c r="H11" s="341">
        <f t="shared" ref="H11:H21" si="4">C11-D11+E11+F11-G11</f>
        <v>1246000</v>
      </c>
      <c r="I11" s="342">
        <f>MARZO!I11+MARZO!J11</f>
        <v>308562</v>
      </c>
      <c r="J11" s="342">
        <f>'LIBRO DE PRESUPUESTO'!J38</f>
        <v>102854</v>
      </c>
      <c r="K11" s="343">
        <f t="shared" si="1"/>
        <v>0.33018940609951847</v>
      </c>
      <c r="L11" s="344">
        <f t="shared" si="2"/>
        <v>411416</v>
      </c>
      <c r="M11" s="345">
        <f t="shared" si="3"/>
        <v>834584</v>
      </c>
      <c r="N11" s="346">
        <f t="shared" ref="N11:N19" si="5">M11/H11</f>
        <v>0.66981059390048159</v>
      </c>
    </row>
    <row r="12" spans="1:14" ht="15.75" customHeight="1">
      <c r="A12" s="334">
        <v>202110104</v>
      </c>
      <c r="B12" s="335" t="s">
        <v>13</v>
      </c>
      <c r="C12" s="336">
        <f>'PAC INICIAL 2020'!C26</f>
        <v>900000</v>
      </c>
      <c r="D12" s="337"/>
      <c r="E12" s="338"/>
      <c r="F12" s="339"/>
      <c r="G12" s="347"/>
      <c r="H12" s="341">
        <f t="shared" si="4"/>
        <v>900000</v>
      </c>
      <c r="I12" s="342">
        <f>MARZO!I12+MARZO!J12</f>
        <v>188616</v>
      </c>
      <c r="J12" s="342">
        <f>'LIBRO DE PRESUPUESTO'!J54</f>
        <v>62872</v>
      </c>
      <c r="K12" s="343">
        <f t="shared" si="1"/>
        <v>0.27943111111111113</v>
      </c>
      <c r="L12" s="344">
        <f t="shared" si="2"/>
        <v>251488</v>
      </c>
      <c r="M12" s="345">
        <f t="shared" si="3"/>
        <v>648512</v>
      </c>
      <c r="N12" s="346">
        <f t="shared" si="5"/>
        <v>0.72056888888888893</v>
      </c>
    </row>
    <row r="13" spans="1:14" ht="15">
      <c r="A13" s="334">
        <v>202110105</v>
      </c>
      <c r="B13" s="335" t="s">
        <v>15</v>
      </c>
      <c r="C13" s="336">
        <f>'PAC INICIAL 2020'!C27</f>
        <v>17000000</v>
      </c>
      <c r="D13" s="337"/>
      <c r="E13" s="338"/>
      <c r="F13" s="339"/>
      <c r="G13" s="347"/>
      <c r="H13" s="341">
        <f t="shared" si="4"/>
        <v>17000000</v>
      </c>
      <c r="I13" s="342">
        <f>MARZO!I13+MARZO!J13</f>
        <v>574520</v>
      </c>
      <c r="J13" s="4">
        <f>'LIBRO DE PRESUPUESTO'!J71+'LIBRO DE PRESUPUESTO'!J72</f>
        <v>1654519</v>
      </c>
      <c r="K13" s="343">
        <f t="shared" si="1"/>
        <v>0.13111994117647058</v>
      </c>
      <c r="L13" s="344">
        <f t="shared" si="2"/>
        <v>2229039</v>
      </c>
      <c r="M13" s="345">
        <f t="shared" si="3"/>
        <v>14770961</v>
      </c>
      <c r="N13" s="346">
        <f t="shared" si="5"/>
        <v>0.86888005882352937</v>
      </c>
    </row>
    <row r="14" spans="1:14" ht="15">
      <c r="A14" s="334">
        <v>202110106</v>
      </c>
      <c r="B14" s="335" t="s">
        <v>17</v>
      </c>
      <c r="C14" s="336">
        <f>'PAC INICIAL 2020'!C28</f>
        <v>24000000</v>
      </c>
      <c r="D14" s="337"/>
      <c r="E14" s="338"/>
      <c r="F14" s="339"/>
      <c r="G14" s="347"/>
      <c r="H14" s="341">
        <f t="shared" si="4"/>
        <v>24000000</v>
      </c>
      <c r="I14" s="342">
        <f>MARZO!I14+MARZO!J14</f>
        <v>2853010</v>
      </c>
      <c r="J14" s="4">
        <f>'LIBRO DE PRESUPUESTO'!J87+'LIBRO DE PRESUPUESTO'!J88</f>
        <v>2294859</v>
      </c>
      <c r="K14" s="343">
        <f t="shared" si="1"/>
        <v>0.21449454166666668</v>
      </c>
      <c r="L14" s="344">
        <f t="shared" si="2"/>
        <v>5147869</v>
      </c>
      <c r="M14" s="345">
        <f t="shared" si="3"/>
        <v>18852131</v>
      </c>
      <c r="N14" s="346">
        <f t="shared" si="5"/>
        <v>0.7855054583333333</v>
      </c>
    </row>
    <row r="15" spans="1:14" ht="15">
      <c r="A15" s="334">
        <v>202110107</v>
      </c>
      <c r="B15" s="335" t="s">
        <v>19</v>
      </c>
      <c r="C15" s="336">
        <f>'PAC INICIAL 2020'!C29</f>
        <v>28000000</v>
      </c>
      <c r="D15" s="337"/>
      <c r="E15" s="338"/>
      <c r="F15" s="339"/>
      <c r="G15" s="347"/>
      <c r="H15" s="341">
        <f t="shared" si="4"/>
        <v>28000000</v>
      </c>
      <c r="I15" s="342">
        <f>MARZO!I15+MARZO!J15</f>
        <v>841370</v>
      </c>
      <c r="J15" s="4">
        <f>'LIBRO DE PRESUPUESTO'!J110+'LIBRO DE PRESUPUESTO'!J111</f>
        <v>2569155</v>
      </c>
      <c r="K15" s="343">
        <f t="shared" si="1"/>
        <v>0.12180446428571429</v>
      </c>
      <c r="L15" s="344">
        <f t="shared" si="2"/>
        <v>3410525</v>
      </c>
      <c r="M15" s="345">
        <f t="shared" si="3"/>
        <v>24589475</v>
      </c>
      <c r="N15" s="346">
        <f t="shared" si="5"/>
        <v>0.87819553571428577</v>
      </c>
    </row>
    <row r="16" spans="1:14" ht="15">
      <c r="A16" s="334">
        <v>202110109</v>
      </c>
      <c r="B16" s="335" t="s">
        <v>20</v>
      </c>
      <c r="C16" s="336">
        <f>'PAC INICIAL 2020'!C30</f>
        <v>36000000</v>
      </c>
      <c r="D16" s="337"/>
      <c r="E16" s="338"/>
      <c r="F16" s="339"/>
      <c r="G16" s="347"/>
      <c r="H16" s="341">
        <f t="shared" si="4"/>
        <v>36000000</v>
      </c>
      <c r="I16" s="342">
        <f>MARZO!I16+MARZO!J16</f>
        <v>1287350</v>
      </c>
      <c r="J16" s="4">
        <f>'LIBRO DE PRESUPUESTO'!J132+'LIBRO DE PRESUPUESTO'!J133+'LIBRO DE PRESUPUESTO'!J134+'LIBRO DE PRESUPUESTO'!J135</f>
        <v>3792056</v>
      </c>
      <c r="K16" s="343">
        <f t="shared" si="1"/>
        <v>0.1410946111111111</v>
      </c>
      <c r="L16" s="344">
        <f>J16+I16</f>
        <v>5079406</v>
      </c>
      <c r="M16" s="345">
        <f t="shared" si="3"/>
        <v>30920594</v>
      </c>
      <c r="N16" s="346">
        <f t="shared" si="5"/>
        <v>0.8589053888888889</v>
      </c>
    </row>
    <row r="17" spans="1:14" ht="15">
      <c r="A17" s="334">
        <v>202110108</v>
      </c>
      <c r="B17" s="335" t="s">
        <v>21</v>
      </c>
      <c r="C17" s="336">
        <f>'PAC INICIAL 2020'!C31</f>
        <v>55000000</v>
      </c>
      <c r="D17" s="337"/>
      <c r="E17" s="338"/>
      <c r="F17" s="339"/>
      <c r="G17" s="347"/>
      <c r="H17" s="341">
        <f t="shared" si="4"/>
        <v>55000000</v>
      </c>
      <c r="I17" s="342">
        <f>MARZO!I17+MARZO!J17</f>
        <v>0</v>
      </c>
      <c r="J17" s="4">
        <f>'LIBRO DE PRESUPUESTO'!J152+'LIBRO DE PRESUPUESTO'!J151</f>
        <v>1332041</v>
      </c>
      <c r="K17" s="343">
        <f t="shared" si="1"/>
        <v>2.4218927272727273E-2</v>
      </c>
      <c r="L17" s="344">
        <f t="shared" ref="L17:L59" si="6">J17+I17</f>
        <v>1332041</v>
      </c>
      <c r="M17" s="345">
        <f t="shared" si="3"/>
        <v>53667959</v>
      </c>
      <c r="N17" s="346">
        <f t="shared" si="5"/>
        <v>0.97578107272727277</v>
      </c>
    </row>
    <row r="18" spans="1:14" s="349" customFormat="1" ht="27.75" customHeight="1">
      <c r="A18" s="327">
        <v>2021102</v>
      </c>
      <c r="B18" s="328" t="s">
        <v>23</v>
      </c>
      <c r="C18" s="329">
        <f t="shared" ref="C18:J18" si="7">SUM(C19:C21)</f>
        <v>20000000</v>
      </c>
      <c r="D18" s="329">
        <f t="shared" si="7"/>
        <v>0</v>
      </c>
      <c r="E18" s="329">
        <f t="shared" si="7"/>
        <v>0</v>
      </c>
      <c r="F18" s="329">
        <f t="shared" si="7"/>
        <v>44000000</v>
      </c>
      <c r="G18" s="329">
        <f t="shared" si="7"/>
        <v>0</v>
      </c>
      <c r="H18" s="329">
        <f t="shared" si="7"/>
        <v>64000000</v>
      </c>
      <c r="I18" s="329">
        <f t="shared" si="7"/>
        <v>51000000</v>
      </c>
      <c r="J18" s="329">
        <f t="shared" si="7"/>
        <v>5000000</v>
      </c>
      <c r="K18" s="330">
        <f t="shared" si="1"/>
        <v>0.875</v>
      </c>
      <c r="L18" s="348">
        <f t="shared" si="6"/>
        <v>56000000</v>
      </c>
      <c r="M18" s="348">
        <f>SUM(M19:M21)</f>
        <v>8000000</v>
      </c>
      <c r="N18" s="332">
        <f t="shared" si="5"/>
        <v>0.125</v>
      </c>
    </row>
    <row r="19" spans="1:14" ht="15">
      <c r="A19" s="334">
        <v>202110201</v>
      </c>
      <c r="B19" s="350" t="s">
        <v>25</v>
      </c>
      <c r="C19" s="336">
        <f>'PAC INICIAL 2020'!C33</f>
        <v>20000000</v>
      </c>
      <c r="D19" s="342"/>
      <c r="E19" s="338"/>
      <c r="F19" s="339">
        <f>'LIBRO DE PRESUPUESTO'!G161</f>
        <v>36000000</v>
      </c>
      <c r="G19" s="347"/>
      <c r="H19" s="341">
        <f t="shared" si="4"/>
        <v>56000000</v>
      </c>
      <c r="I19" s="342">
        <f>MARZO!I19+MARZO!J19</f>
        <v>43000000</v>
      </c>
      <c r="J19" s="342">
        <f>'LIBRO DE PRESUPUESTO'!J165</f>
        <v>5000000</v>
      </c>
      <c r="K19" s="343">
        <f t="shared" si="1"/>
        <v>0.8571428571428571</v>
      </c>
      <c r="L19" s="344">
        <f t="shared" si="6"/>
        <v>48000000</v>
      </c>
      <c r="M19" s="345">
        <f t="shared" si="3"/>
        <v>8000000</v>
      </c>
      <c r="N19" s="346">
        <f t="shared" si="5"/>
        <v>0.14285714285714285</v>
      </c>
    </row>
    <row r="20" spans="1:14" ht="1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f>'LIBRO DE PRESUPUESTO'!G176</f>
        <v>8000000</v>
      </c>
      <c r="G20" s="347"/>
      <c r="H20" s="341">
        <f t="shared" si="4"/>
        <v>8000000</v>
      </c>
      <c r="I20" s="342">
        <f>MARZO!I20+MARZO!J20</f>
        <v>8000000</v>
      </c>
      <c r="J20" s="342">
        <v>0</v>
      </c>
      <c r="K20" s="343">
        <v>0</v>
      </c>
      <c r="L20" s="344">
        <f t="shared" si="6"/>
        <v>8000000</v>
      </c>
      <c r="M20" s="345">
        <f t="shared" si="3"/>
        <v>0</v>
      </c>
      <c r="N20" s="346">
        <v>0</v>
      </c>
    </row>
    <row r="21" spans="1:14" ht="1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4"/>
        <v>0</v>
      </c>
      <c r="I21" s="342">
        <f>MARZO!I21+MARZO!J21</f>
        <v>0</v>
      </c>
      <c r="J21" s="2">
        <v>0</v>
      </c>
      <c r="K21" s="343">
        <v>0</v>
      </c>
      <c r="L21" s="344">
        <f t="shared" si="6"/>
        <v>0</v>
      </c>
      <c r="M21" s="345">
        <f t="shared" si="3"/>
        <v>0</v>
      </c>
      <c r="N21" s="346">
        <v>0</v>
      </c>
    </row>
    <row r="22" spans="1:14" ht="30">
      <c r="A22" s="327">
        <v>2021103</v>
      </c>
      <c r="B22" s="359" t="s">
        <v>69</v>
      </c>
      <c r="C22" s="360">
        <f>SUM(C23:C26)</f>
        <v>83629741</v>
      </c>
      <c r="D22" s="360">
        <f t="shared" ref="D22:J22" si="8">SUM(D23:D26)</f>
        <v>0</v>
      </c>
      <c r="E22" s="360">
        <f t="shared" si="8"/>
        <v>0</v>
      </c>
      <c r="F22" s="360">
        <f t="shared" si="8"/>
        <v>0</v>
      </c>
      <c r="G22" s="360">
        <f t="shared" si="8"/>
        <v>0</v>
      </c>
      <c r="H22" s="360">
        <f t="shared" si="8"/>
        <v>83629741</v>
      </c>
      <c r="I22" s="360">
        <f t="shared" si="8"/>
        <v>12278287</v>
      </c>
      <c r="J22" s="360">
        <f t="shared" si="8"/>
        <v>5642191</v>
      </c>
      <c r="K22" s="330">
        <f>L22/H22</f>
        <v>0.21428355254621678</v>
      </c>
      <c r="L22" s="360">
        <f>SUM(L23:L26)</f>
        <v>17920478</v>
      </c>
      <c r="M22" s="360">
        <f>SUM(M23:M26)</f>
        <v>65709263</v>
      </c>
      <c r="N22" s="332">
        <f t="shared" ref="N22:N28" si="9">M22/H22</f>
        <v>0.78571644745378322</v>
      </c>
    </row>
    <row r="23" spans="1:14" ht="15">
      <c r="A23" s="334">
        <v>202110301</v>
      </c>
      <c r="B23" s="351" t="s">
        <v>71</v>
      </c>
      <c r="C23" s="336">
        <f>'PAC INICIAL 2020'!C60</f>
        <v>16000083</v>
      </c>
      <c r="D23" s="337"/>
      <c r="E23" s="338"/>
      <c r="F23" s="339"/>
      <c r="G23" s="347"/>
      <c r="H23" s="341">
        <f>C23-D23+E23+F23-G23</f>
        <v>16000083</v>
      </c>
      <c r="I23" s="342">
        <f>MARZO!I23+MARZO!J23</f>
        <v>0</v>
      </c>
      <c r="J23" s="5">
        <f>'LIBRO DE PRESUPUESTO'!J562+'LIBRO DE PRESUPUESTO'!J563</f>
        <v>1365627</v>
      </c>
      <c r="K23" s="343">
        <f t="shared" ref="K23:K36" si="10">L23/H23</f>
        <v>8.5351244740417914E-2</v>
      </c>
      <c r="L23" s="344">
        <f>J23+I23</f>
        <v>1365627</v>
      </c>
      <c r="M23" s="345">
        <f>H23-L23</f>
        <v>14634456</v>
      </c>
      <c r="N23" s="346">
        <f t="shared" si="9"/>
        <v>0.91464875525958211</v>
      </c>
    </row>
    <row r="24" spans="1:14" ht="15">
      <c r="A24" s="334">
        <v>202110302</v>
      </c>
      <c r="B24" s="351" t="s">
        <v>73</v>
      </c>
      <c r="C24" s="336">
        <f>'PAC INICIAL 2020'!C61</f>
        <v>46429658</v>
      </c>
      <c r="D24" s="337"/>
      <c r="E24" s="338"/>
      <c r="F24" s="339"/>
      <c r="G24" s="347"/>
      <c r="H24" s="341">
        <f>C24-D24+E24+F24-G24</f>
        <v>46429658</v>
      </c>
      <c r="I24" s="342">
        <f>MARZO!I24+MARZO!J24</f>
        <v>9599321</v>
      </c>
      <c r="J24" s="4">
        <f>'LIBRO DE PRESUPUESTO'!J575</f>
        <v>3230596</v>
      </c>
      <c r="K24" s="343">
        <f t="shared" si="10"/>
        <v>0.27633020686906634</v>
      </c>
      <c r="L24" s="344">
        <f>J24+I24</f>
        <v>12829917</v>
      </c>
      <c r="M24" s="345">
        <f>H24-L24</f>
        <v>33599741</v>
      </c>
      <c r="N24" s="346">
        <f t="shared" si="9"/>
        <v>0.72366979313093371</v>
      </c>
    </row>
    <row r="25" spans="1:14" ht="15">
      <c r="A25" s="334">
        <v>202110304</v>
      </c>
      <c r="B25" s="351" t="s">
        <v>74</v>
      </c>
      <c r="C25" s="336">
        <f>'PAC INICIAL 2020'!C62</f>
        <v>14000000</v>
      </c>
      <c r="D25" s="337"/>
      <c r="E25" s="338"/>
      <c r="F25" s="339"/>
      <c r="G25" s="347"/>
      <c r="H25" s="341">
        <f>C25-D25+E25+F25-G25</f>
        <v>14000000</v>
      </c>
      <c r="I25" s="342">
        <f>MARZO!I25+MARZO!J25</f>
        <v>2678966</v>
      </c>
      <c r="J25" s="4">
        <f>'LIBRO DE PRESUPUESTO'!J590</f>
        <v>882093</v>
      </c>
      <c r="K25" s="343">
        <f t="shared" si="10"/>
        <v>0.25436135714285713</v>
      </c>
      <c r="L25" s="344">
        <f>J25+I25</f>
        <v>3561059</v>
      </c>
      <c r="M25" s="345">
        <f>H25-L25</f>
        <v>10438941</v>
      </c>
      <c r="N25" s="346">
        <f t="shared" si="9"/>
        <v>0.74563864285714287</v>
      </c>
    </row>
    <row r="26" spans="1:14" ht="15">
      <c r="A26" s="334">
        <v>202110305</v>
      </c>
      <c r="B26" s="351" t="s">
        <v>75</v>
      </c>
      <c r="C26" s="336">
        <f>'PAC INICIAL 2020'!C63</f>
        <v>7200000</v>
      </c>
      <c r="D26" s="362"/>
      <c r="E26" s="338"/>
      <c r="F26" s="339"/>
      <c r="G26" s="363"/>
      <c r="H26" s="341">
        <f>C26-D26+E26+F26-G26</f>
        <v>7200000</v>
      </c>
      <c r="I26" s="342">
        <f>MARZO!I26+MARZO!J26</f>
        <v>0</v>
      </c>
      <c r="J26" s="341">
        <f>'LIBRO DE PRESUPUESTO'!J604+'LIBRO DE PRESUPUESTO'!J605</f>
        <v>163875</v>
      </c>
      <c r="K26" s="343">
        <f t="shared" si="10"/>
        <v>2.2760416666666668E-2</v>
      </c>
      <c r="L26" s="344">
        <f>J26+I26</f>
        <v>163875</v>
      </c>
      <c r="M26" s="345">
        <f>H26-L26</f>
        <v>7036125</v>
      </c>
      <c r="N26" s="346">
        <f t="shared" si="9"/>
        <v>0.97723958333333338</v>
      </c>
    </row>
    <row r="27" spans="1:14" ht="15.75">
      <c r="A27" s="327">
        <v>2021104</v>
      </c>
      <c r="B27" s="364" t="s">
        <v>76</v>
      </c>
      <c r="C27" s="360">
        <f t="shared" ref="C27:J27" si="11">SUM(C28:C37)</f>
        <v>177100000</v>
      </c>
      <c r="D27" s="360">
        <f t="shared" si="11"/>
        <v>0</v>
      </c>
      <c r="E27" s="360">
        <f t="shared" si="11"/>
        <v>0</v>
      </c>
      <c r="F27" s="360">
        <f t="shared" si="11"/>
        <v>0</v>
      </c>
      <c r="G27" s="360">
        <f t="shared" si="11"/>
        <v>46000000</v>
      </c>
      <c r="H27" s="360">
        <f t="shared" si="11"/>
        <v>131100000</v>
      </c>
      <c r="I27" s="329">
        <f t="shared" si="11"/>
        <v>21653908</v>
      </c>
      <c r="J27" s="329">
        <f t="shared" si="11"/>
        <v>7300190</v>
      </c>
      <c r="K27" s="330">
        <f>L27/H27</f>
        <v>0.22085505720823798</v>
      </c>
      <c r="L27" s="331">
        <f>SUM(L28:L37)</f>
        <v>28954098</v>
      </c>
      <c r="M27" s="348">
        <f>SUM(M28:M37)</f>
        <v>102145902</v>
      </c>
      <c r="N27" s="332">
        <f t="shared" si="9"/>
        <v>0.77914494279176205</v>
      </c>
    </row>
    <row r="28" spans="1:14" ht="15">
      <c r="A28" s="365">
        <v>202110401</v>
      </c>
      <c r="B28" s="351" t="s">
        <v>78</v>
      </c>
      <c r="C28" s="336">
        <f>'PAC INICIAL 2020'!C65</f>
        <v>56000000</v>
      </c>
      <c r="D28" s="337"/>
      <c r="E28" s="338"/>
      <c r="F28" s="339"/>
      <c r="G28" s="347">
        <f>'LIBRO DE PRESUPUESTO'!H615</f>
        <v>46000000</v>
      </c>
      <c r="H28" s="341">
        <f t="shared" ref="H28:H37" si="12">C28-D28+E28+F28-G28</f>
        <v>10000000</v>
      </c>
      <c r="I28" s="342">
        <f>MARZO!I28+MARZO!J28</f>
        <v>102050</v>
      </c>
      <c r="J28" s="2">
        <v>0</v>
      </c>
      <c r="K28" s="343">
        <f t="shared" si="10"/>
        <v>1.0205000000000001E-2</v>
      </c>
      <c r="L28" s="344">
        <f t="shared" ref="L28:L38" si="13">J28+I28</f>
        <v>102050</v>
      </c>
      <c r="M28" s="345">
        <f t="shared" ref="M28:M37" si="14">H28-L28</f>
        <v>9897950</v>
      </c>
      <c r="N28" s="346">
        <f t="shared" si="9"/>
        <v>0.98979499999999998</v>
      </c>
    </row>
    <row r="29" spans="1:14" ht="15">
      <c r="A29" s="334">
        <v>202110402</v>
      </c>
      <c r="B29" s="351" t="s">
        <v>73</v>
      </c>
      <c r="C29" s="336">
        <f>'PAC INICIAL 2020'!C66</f>
        <v>0</v>
      </c>
      <c r="D29" s="337"/>
      <c r="E29" s="338"/>
      <c r="F29" s="339"/>
      <c r="G29" s="347"/>
      <c r="H29" s="341">
        <f t="shared" si="12"/>
        <v>0</v>
      </c>
      <c r="I29" s="342">
        <f>MARZO!I29+MARZO!J29</f>
        <v>0</v>
      </c>
      <c r="J29" s="342"/>
      <c r="K29" s="343">
        <v>0</v>
      </c>
      <c r="L29" s="353">
        <f t="shared" si="13"/>
        <v>0</v>
      </c>
      <c r="M29" s="345">
        <f t="shared" si="14"/>
        <v>0</v>
      </c>
      <c r="N29" s="346">
        <v>0</v>
      </c>
    </row>
    <row r="30" spans="1:14" ht="15">
      <c r="A30" s="334">
        <v>202110403</v>
      </c>
      <c r="B30" s="351" t="s">
        <v>81</v>
      </c>
      <c r="C30" s="336">
        <f>'PAC INICIAL 2020'!C67</f>
        <v>3900000</v>
      </c>
      <c r="D30" s="337"/>
      <c r="E30" s="338"/>
      <c r="F30" s="339"/>
      <c r="G30" s="347"/>
      <c r="H30" s="341">
        <f t="shared" si="12"/>
        <v>3900000</v>
      </c>
      <c r="I30" s="342">
        <f>MARZO!I30+MARZO!J30</f>
        <v>582800</v>
      </c>
      <c r="J30" s="4">
        <f>'LIBRO DE PRESUPUESTO'!J635</f>
        <v>198700</v>
      </c>
      <c r="K30" s="343">
        <f t="shared" si="10"/>
        <v>0.20038461538461538</v>
      </c>
      <c r="L30" s="344">
        <f t="shared" si="13"/>
        <v>781500</v>
      </c>
      <c r="M30" s="345">
        <f t="shared" si="14"/>
        <v>3118500</v>
      </c>
      <c r="N30" s="346">
        <f t="shared" ref="N30:N36" si="15">M30/H30</f>
        <v>0.79961538461538462</v>
      </c>
    </row>
    <row r="31" spans="1:14" ht="15">
      <c r="A31" s="334">
        <v>202110404</v>
      </c>
      <c r="B31" s="351" t="s">
        <v>74</v>
      </c>
      <c r="C31" s="336">
        <f>'PAC INICIAL 2020'!C68</f>
        <v>52000000</v>
      </c>
      <c r="D31" s="337"/>
      <c r="E31" s="338"/>
      <c r="F31" s="339"/>
      <c r="G31" s="347"/>
      <c r="H31" s="341">
        <f t="shared" si="12"/>
        <v>52000000</v>
      </c>
      <c r="I31" s="342">
        <f>MARZO!I31+MARZO!J31</f>
        <v>10935858</v>
      </c>
      <c r="J31" s="366">
        <f>'LIBRO DE PRESUPUESTO'!J651</f>
        <v>3678990</v>
      </c>
      <c r="K31" s="343">
        <f t="shared" si="10"/>
        <v>0.28105476923076922</v>
      </c>
      <c r="L31" s="344">
        <f t="shared" si="13"/>
        <v>14614848</v>
      </c>
      <c r="M31" s="345">
        <f t="shared" si="14"/>
        <v>37385152</v>
      </c>
      <c r="N31" s="346">
        <f t="shared" si="15"/>
        <v>0.71894523076923078</v>
      </c>
    </row>
    <row r="32" spans="1:14" ht="15">
      <c r="A32" s="334">
        <v>202110405</v>
      </c>
      <c r="B32" s="351" t="s">
        <v>84</v>
      </c>
      <c r="C32" s="336">
        <f>'PAC INICIAL 2020'!C69</f>
        <v>27000000</v>
      </c>
      <c r="D32" s="337"/>
      <c r="E32" s="338"/>
      <c r="F32" s="339"/>
      <c r="G32" s="347"/>
      <c r="H32" s="341">
        <f t="shared" si="12"/>
        <v>27000000</v>
      </c>
      <c r="I32" s="342">
        <f>MARZO!I32+MARZO!J32</f>
        <v>4457600</v>
      </c>
      <c r="J32" s="4">
        <f>'LIBRO DE PRESUPUESTO'!J667</f>
        <v>1520600</v>
      </c>
      <c r="K32" s="343">
        <f t="shared" si="10"/>
        <v>0.22141481481481481</v>
      </c>
      <c r="L32" s="344">
        <f t="shared" si="13"/>
        <v>5978200</v>
      </c>
      <c r="M32" s="345">
        <f t="shared" si="14"/>
        <v>21021800</v>
      </c>
      <c r="N32" s="346">
        <f t="shared" si="15"/>
        <v>0.77858518518518516</v>
      </c>
    </row>
    <row r="33" spans="1:14" ht="15">
      <c r="A33" s="334">
        <v>202110406</v>
      </c>
      <c r="B33" s="351" t="s">
        <v>86</v>
      </c>
      <c r="C33" s="336">
        <f>'PAC INICIAL 2020'!C70</f>
        <v>23000000</v>
      </c>
      <c r="D33" s="337"/>
      <c r="E33" s="338"/>
      <c r="F33" s="339"/>
      <c r="G33" s="347"/>
      <c r="H33" s="341">
        <f t="shared" si="12"/>
        <v>23000000</v>
      </c>
      <c r="I33" s="342">
        <f>MARZO!I33+MARZO!J33</f>
        <v>3342900</v>
      </c>
      <c r="J33" s="4">
        <f>'LIBRO DE PRESUPUESTO'!J683</f>
        <v>1140300</v>
      </c>
      <c r="K33" s="343">
        <f t="shared" si="10"/>
        <v>0.19492173913043478</v>
      </c>
      <c r="L33" s="344">
        <f t="shared" si="13"/>
        <v>4483200</v>
      </c>
      <c r="M33" s="345">
        <f t="shared" si="14"/>
        <v>18516800</v>
      </c>
      <c r="N33" s="346">
        <f t="shared" si="15"/>
        <v>0.80507826086956524</v>
      </c>
    </row>
    <row r="34" spans="1:14" ht="15">
      <c r="A34" s="334">
        <v>202110407</v>
      </c>
      <c r="B34" s="351" t="s">
        <v>88</v>
      </c>
      <c r="C34" s="336">
        <f>'PAC INICIAL 2020'!C71</f>
        <v>4000000</v>
      </c>
      <c r="D34" s="337"/>
      <c r="E34" s="338"/>
      <c r="F34" s="339"/>
      <c r="G34" s="347"/>
      <c r="H34" s="341">
        <f t="shared" si="12"/>
        <v>4000000</v>
      </c>
      <c r="I34" s="342">
        <f>MARZO!I34+MARZO!J34</f>
        <v>558700</v>
      </c>
      <c r="J34" s="4">
        <f>'LIBRO DE PRESUPUESTO'!J699</f>
        <v>190600</v>
      </c>
      <c r="K34" s="343">
        <f t="shared" si="10"/>
        <v>0.18732499999999999</v>
      </c>
      <c r="L34" s="344">
        <f t="shared" si="13"/>
        <v>749300</v>
      </c>
      <c r="M34" s="345">
        <f t="shared" si="14"/>
        <v>3250700</v>
      </c>
      <c r="N34" s="346">
        <f t="shared" si="15"/>
        <v>0.81267500000000004</v>
      </c>
    </row>
    <row r="35" spans="1:14" ht="15">
      <c r="A35" s="334">
        <v>202110408</v>
      </c>
      <c r="B35" s="351" t="s">
        <v>90</v>
      </c>
      <c r="C35" s="336">
        <f>'PAC INICIAL 2020'!C72</f>
        <v>4000000</v>
      </c>
      <c r="D35" s="337"/>
      <c r="E35" s="338"/>
      <c r="F35" s="339"/>
      <c r="G35" s="347"/>
      <c r="H35" s="341">
        <f t="shared" si="12"/>
        <v>4000000</v>
      </c>
      <c r="I35" s="342">
        <f>MARZO!I35+MARZO!J35</f>
        <v>558700</v>
      </c>
      <c r="J35" s="4">
        <f>'LIBRO DE PRESUPUESTO'!J714</f>
        <v>190600</v>
      </c>
      <c r="K35" s="343">
        <f t="shared" si="10"/>
        <v>0.18732499999999999</v>
      </c>
      <c r="L35" s="344">
        <f t="shared" si="13"/>
        <v>749300</v>
      </c>
      <c r="M35" s="345">
        <f t="shared" si="14"/>
        <v>3250700</v>
      </c>
      <c r="N35" s="346">
        <f t="shared" si="15"/>
        <v>0.81267500000000004</v>
      </c>
    </row>
    <row r="36" spans="1:14" ht="15">
      <c r="A36" s="334">
        <v>202110409</v>
      </c>
      <c r="B36" s="351" t="s">
        <v>92</v>
      </c>
      <c r="C36" s="336">
        <f>'PAC INICIAL 2020'!C73</f>
        <v>7200000</v>
      </c>
      <c r="D36" s="337"/>
      <c r="E36" s="338"/>
      <c r="F36" s="339"/>
      <c r="G36" s="347"/>
      <c r="H36" s="341">
        <f t="shared" si="12"/>
        <v>7200000</v>
      </c>
      <c r="I36" s="342">
        <f>MARZO!I36+MARZO!J36</f>
        <v>1115300</v>
      </c>
      <c r="J36" s="4">
        <f>'LIBRO DE PRESUPUESTO'!J734</f>
        <v>380400</v>
      </c>
      <c r="K36" s="343">
        <f t="shared" si="10"/>
        <v>0.20773611111111112</v>
      </c>
      <c r="L36" s="344">
        <f t="shared" si="13"/>
        <v>1495700</v>
      </c>
      <c r="M36" s="345">
        <f t="shared" si="14"/>
        <v>5704300</v>
      </c>
      <c r="N36" s="346">
        <f t="shared" si="15"/>
        <v>0.79226388888888888</v>
      </c>
    </row>
    <row r="37" spans="1:14" ht="15">
      <c r="A37" s="334">
        <v>202110410</v>
      </c>
      <c r="B37" s="351" t="s">
        <v>94</v>
      </c>
      <c r="C37" s="336">
        <f>'PAC INICIAL 2020'!C74</f>
        <v>0</v>
      </c>
      <c r="D37" s="342"/>
      <c r="E37" s="338"/>
      <c r="F37" s="339"/>
      <c r="G37" s="347"/>
      <c r="H37" s="341">
        <f t="shared" si="12"/>
        <v>0</v>
      </c>
      <c r="I37" s="342">
        <f>MARZO!I37+MARZO!J37</f>
        <v>0</v>
      </c>
      <c r="J37" s="342">
        <v>0</v>
      </c>
      <c r="K37" s="343">
        <v>0</v>
      </c>
      <c r="L37" s="353">
        <f t="shared" si="13"/>
        <v>0</v>
      </c>
      <c r="M37" s="345">
        <f t="shared" si="14"/>
        <v>0</v>
      </c>
      <c r="N37" s="346">
        <v>0</v>
      </c>
    </row>
    <row r="38" spans="1:14" s="349" customFormat="1" ht="27.75" customHeight="1">
      <c r="A38" s="327">
        <v>2021201</v>
      </c>
      <c r="B38" s="352" t="s">
        <v>31</v>
      </c>
      <c r="C38" s="329">
        <f t="shared" ref="C38:J38" si="16">SUM(C39:C42)</f>
        <v>21300000</v>
      </c>
      <c r="D38" s="329">
        <f t="shared" si="16"/>
        <v>0</v>
      </c>
      <c r="E38" s="329">
        <f t="shared" si="16"/>
        <v>0</v>
      </c>
      <c r="F38" s="329">
        <f t="shared" si="16"/>
        <v>0</v>
      </c>
      <c r="G38" s="329">
        <f t="shared" si="16"/>
        <v>0</v>
      </c>
      <c r="H38" s="329">
        <f t="shared" si="16"/>
        <v>21300000</v>
      </c>
      <c r="I38" s="329">
        <f t="shared" si="16"/>
        <v>6408500</v>
      </c>
      <c r="J38" s="329">
        <f t="shared" si="16"/>
        <v>1136700</v>
      </c>
      <c r="K38" s="330">
        <f>L38/H38</f>
        <v>0.35423474178403758</v>
      </c>
      <c r="L38" s="348">
        <f t="shared" si="13"/>
        <v>7545200</v>
      </c>
      <c r="M38" s="329">
        <f>SUM(M39:M42)</f>
        <v>13754800</v>
      </c>
      <c r="N38" s="332">
        <f>M38/H38</f>
        <v>0.64576525821596242</v>
      </c>
    </row>
    <row r="39" spans="1:14" ht="15">
      <c r="A39" s="334">
        <v>202120101</v>
      </c>
      <c r="B39" s="351" t="s">
        <v>33</v>
      </c>
      <c r="C39" s="336">
        <f>'PAC INICIAL 2020'!C38</f>
        <v>6000000</v>
      </c>
      <c r="D39" s="342"/>
      <c r="E39" s="338"/>
      <c r="F39" s="339"/>
      <c r="G39" s="347"/>
      <c r="H39" s="341">
        <f>C39-D39+E39+F39-G39</f>
        <v>6000000</v>
      </c>
      <c r="I39" s="342">
        <f>MARZO!I39+MARZO!J39</f>
        <v>3600000</v>
      </c>
      <c r="J39" s="2">
        <v>0</v>
      </c>
      <c r="K39" s="343">
        <v>0</v>
      </c>
      <c r="L39" s="344">
        <f t="shared" si="6"/>
        <v>3600000</v>
      </c>
      <c r="M39" s="345">
        <f t="shared" si="3"/>
        <v>2400000</v>
      </c>
      <c r="N39" s="346">
        <v>0</v>
      </c>
    </row>
    <row r="40" spans="1:14" ht="15">
      <c r="A40" s="334">
        <v>202120102</v>
      </c>
      <c r="B40" s="354" t="s">
        <v>35</v>
      </c>
      <c r="C40" s="336">
        <f>'PAC INICIAL 2020'!C39</f>
        <v>14000000</v>
      </c>
      <c r="D40" s="342"/>
      <c r="E40" s="338"/>
      <c r="F40" s="339"/>
      <c r="G40" s="347"/>
      <c r="H40" s="341">
        <f>C40-D40+E40+F40-G40</f>
        <v>14000000</v>
      </c>
      <c r="I40" s="342">
        <f>MARZO!I40+MARZO!J40</f>
        <v>2808500</v>
      </c>
      <c r="J40" s="342">
        <f>'LIBRO DE PRESUPUESTO'!J202</f>
        <v>1136700</v>
      </c>
      <c r="K40" s="343">
        <f>L40/H40</f>
        <v>0.28179999999999999</v>
      </c>
      <c r="L40" s="344">
        <f t="shared" si="6"/>
        <v>3945200</v>
      </c>
      <c r="M40" s="345">
        <f t="shared" si="3"/>
        <v>10054800</v>
      </c>
      <c r="N40" s="355">
        <f>M40/H40</f>
        <v>0.71819999999999995</v>
      </c>
    </row>
    <row r="41" spans="1:14" ht="15">
      <c r="A41" s="334">
        <v>202120104</v>
      </c>
      <c r="B41" s="351" t="s">
        <v>37</v>
      </c>
      <c r="C41" s="336">
        <f>'PAC INICIAL 2020'!C40</f>
        <v>1300000</v>
      </c>
      <c r="D41" s="342"/>
      <c r="E41" s="338"/>
      <c r="F41" s="339"/>
      <c r="G41" s="356"/>
      <c r="H41" s="341">
        <f>C41-D41+E41+F41-G41</f>
        <v>1300000</v>
      </c>
      <c r="I41" s="342">
        <f>MARZO!I41+MARZO!J41</f>
        <v>0</v>
      </c>
      <c r="J41" s="342">
        <v>0</v>
      </c>
      <c r="K41" s="343">
        <f>L41/H41</f>
        <v>0</v>
      </c>
      <c r="L41" s="344">
        <f t="shared" si="6"/>
        <v>0</v>
      </c>
      <c r="M41" s="345">
        <f t="shared" si="3"/>
        <v>1300000</v>
      </c>
      <c r="N41" s="355">
        <f>M41/H41</f>
        <v>1</v>
      </c>
    </row>
    <row r="42" spans="1:14" ht="15">
      <c r="A42" s="334">
        <v>202120105</v>
      </c>
      <c r="B42" s="351" t="s">
        <v>39</v>
      </c>
      <c r="C42" s="336">
        <f>'PAC INICIAL 2020'!C41</f>
        <v>0</v>
      </c>
      <c r="D42" s="342"/>
      <c r="E42" s="338"/>
      <c r="F42" s="339"/>
      <c r="G42" s="347"/>
      <c r="H42" s="341">
        <f>C42-D42+E42+F42-G42</f>
        <v>0</v>
      </c>
      <c r="I42" s="342">
        <f>MARZO!I42+MARZO!J42</f>
        <v>0</v>
      </c>
      <c r="J42" s="342">
        <v>0</v>
      </c>
      <c r="K42" s="343">
        <v>0</v>
      </c>
      <c r="L42" s="353">
        <f t="shared" si="6"/>
        <v>0</v>
      </c>
      <c r="M42" s="345">
        <f t="shared" si="3"/>
        <v>0</v>
      </c>
      <c r="N42" s="355">
        <v>0</v>
      </c>
    </row>
    <row r="43" spans="1:14" s="349" customFormat="1" ht="27.75" customHeight="1">
      <c r="A43" s="327">
        <v>2021202</v>
      </c>
      <c r="B43" s="352" t="s">
        <v>41</v>
      </c>
      <c r="C43" s="329">
        <f t="shared" ref="C43:J43" si="17">SUM(C44:C59)</f>
        <v>127719000</v>
      </c>
      <c r="D43" s="329">
        <f t="shared" si="17"/>
        <v>0</v>
      </c>
      <c r="E43" s="329">
        <f t="shared" si="17"/>
        <v>0</v>
      </c>
      <c r="F43" s="329">
        <f t="shared" si="17"/>
        <v>13500000</v>
      </c>
      <c r="G43" s="329">
        <f t="shared" si="17"/>
        <v>0</v>
      </c>
      <c r="H43" s="329">
        <f t="shared" si="17"/>
        <v>141219000</v>
      </c>
      <c r="I43" s="329">
        <f t="shared" si="17"/>
        <v>22275233</v>
      </c>
      <c r="J43" s="329">
        <f t="shared" si="17"/>
        <v>4895313</v>
      </c>
      <c r="K43" s="330">
        <f t="shared" ref="K43:K50" si="18">L43/H43</f>
        <v>0.19240007364448128</v>
      </c>
      <c r="L43" s="331">
        <f>I43+J43</f>
        <v>27170546</v>
      </c>
      <c r="M43" s="348">
        <f>SUM(M44:M59)</f>
        <v>114048454</v>
      </c>
      <c r="N43" s="332">
        <f t="shared" ref="N43:N48" si="19">M43/H43</f>
        <v>0.80759992635551869</v>
      </c>
    </row>
    <row r="44" spans="1:14" ht="15">
      <c r="A44" s="334">
        <v>202120201</v>
      </c>
      <c r="B44" s="351" t="s">
        <v>43</v>
      </c>
      <c r="C44" s="336">
        <f>'PAC INICIAL 2020'!C43</f>
        <v>9000000</v>
      </c>
      <c r="D44" s="342"/>
      <c r="E44" s="338"/>
      <c r="F44" s="339">
        <f>'LIBRO DE PRESUPUESTO'!G227</f>
        <v>10000000</v>
      </c>
      <c r="G44" s="347"/>
      <c r="H44" s="341">
        <f t="shared" ref="H44:H58" si="20">C44-D44+E44+F44-G44</f>
        <v>19000000</v>
      </c>
      <c r="I44" s="342">
        <f>MARZO!I44+MARZO!J44</f>
        <v>2562000</v>
      </c>
      <c r="J44" s="342">
        <f>'LIBRO DE PRESUPUESTO'!J230</f>
        <v>1360000</v>
      </c>
      <c r="K44" s="343">
        <f t="shared" si="18"/>
        <v>0.20642105263157895</v>
      </c>
      <c r="L44" s="344">
        <f t="shared" si="6"/>
        <v>3922000</v>
      </c>
      <c r="M44" s="345">
        <f t="shared" si="3"/>
        <v>15078000</v>
      </c>
      <c r="N44" s="355">
        <f t="shared" si="19"/>
        <v>0.79357894736842105</v>
      </c>
    </row>
    <row r="45" spans="1:14" ht="15">
      <c r="A45" s="334">
        <v>202120202</v>
      </c>
      <c r="B45" s="351" t="s">
        <v>44</v>
      </c>
      <c r="C45" s="336">
        <f>'PAC INICIAL 2020'!C44</f>
        <v>52500000</v>
      </c>
      <c r="D45" s="342"/>
      <c r="E45" s="338"/>
      <c r="F45" s="339"/>
      <c r="G45" s="347"/>
      <c r="H45" s="341">
        <f t="shared" si="20"/>
        <v>52500000</v>
      </c>
      <c r="I45" s="342">
        <f>MARZO!I45+MARZO!J45</f>
        <v>12852320</v>
      </c>
      <c r="J45" s="342">
        <f>'LIBRO DE PRESUPUESTO'!J267+'LIBRO DE PRESUPUESTO'!J268+'LIBRO DE PRESUPUESTO'!J269</f>
        <v>561550</v>
      </c>
      <c r="K45" s="343">
        <f t="shared" si="18"/>
        <v>0.25550228571428574</v>
      </c>
      <c r="L45" s="344">
        <f t="shared" si="6"/>
        <v>13413870</v>
      </c>
      <c r="M45" s="345">
        <f t="shared" si="3"/>
        <v>39086130</v>
      </c>
      <c r="N45" s="355">
        <f t="shared" si="19"/>
        <v>0.74449771428571432</v>
      </c>
    </row>
    <row r="46" spans="1:14" ht="15">
      <c r="A46" s="334">
        <v>202120203</v>
      </c>
      <c r="B46" s="351" t="s">
        <v>46</v>
      </c>
      <c r="C46" s="336">
        <f>'PAC INICIAL 2020'!C45</f>
        <v>2000000</v>
      </c>
      <c r="D46" s="342"/>
      <c r="E46" s="338"/>
      <c r="F46" s="339"/>
      <c r="G46" s="347"/>
      <c r="H46" s="341">
        <f t="shared" si="20"/>
        <v>2000000</v>
      </c>
      <c r="I46" s="342">
        <f>MARZO!I46+MARZO!J46</f>
        <v>522000</v>
      </c>
      <c r="J46" s="4">
        <f>'LIBRO DE PRESUPUESTO'!J384</f>
        <v>148600</v>
      </c>
      <c r="K46" s="343">
        <f t="shared" si="18"/>
        <v>0.33529999999999999</v>
      </c>
      <c r="L46" s="344">
        <f t="shared" si="6"/>
        <v>670600</v>
      </c>
      <c r="M46" s="345">
        <f t="shared" si="3"/>
        <v>1329400</v>
      </c>
      <c r="N46" s="355">
        <f t="shared" si="19"/>
        <v>0.66469999999999996</v>
      </c>
    </row>
    <row r="47" spans="1:14" ht="15">
      <c r="A47" s="334">
        <v>202120204</v>
      </c>
      <c r="B47" s="351" t="s">
        <v>48</v>
      </c>
      <c r="C47" s="336">
        <f>'PAC INICIAL 2020'!C46</f>
        <v>11619000</v>
      </c>
      <c r="D47" s="342"/>
      <c r="E47" s="338"/>
      <c r="F47" s="339"/>
      <c r="G47" s="347"/>
      <c r="H47" s="341">
        <f t="shared" si="20"/>
        <v>11619000</v>
      </c>
      <c r="I47" s="342">
        <f>MARZO!I47+MARZO!J47</f>
        <v>2464600</v>
      </c>
      <c r="J47" s="4">
        <f>'LIBRO DE PRESUPUESTO'!J405</f>
        <v>948900</v>
      </c>
      <c r="K47" s="343">
        <f t="shared" si="18"/>
        <v>0.29378604010672177</v>
      </c>
      <c r="L47" s="344">
        <f t="shared" si="6"/>
        <v>3413500</v>
      </c>
      <c r="M47" s="345">
        <f t="shared" si="3"/>
        <v>8205500</v>
      </c>
      <c r="N47" s="346">
        <f t="shared" si="19"/>
        <v>0.70621395989327829</v>
      </c>
    </row>
    <row r="48" spans="1:14" ht="15">
      <c r="A48" s="334">
        <v>202120205</v>
      </c>
      <c r="B48" s="351" t="s">
        <v>50</v>
      </c>
      <c r="C48" s="336">
        <f>'PAC INICIAL 2020'!C47</f>
        <v>8000000</v>
      </c>
      <c r="D48" s="342"/>
      <c r="E48" s="338"/>
      <c r="F48" s="339"/>
      <c r="G48" s="347"/>
      <c r="H48" s="341">
        <f t="shared" si="20"/>
        <v>8000000</v>
      </c>
      <c r="I48" s="342">
        <f>MARZO!I48+MARZO!J48</f>
        <v>965773</v>
      </c>
      <c r="J48" s="4">
        <f>'LIBRO DE PRESUPUESTO'!J423+'LIBRO DE PRESUPUESTO'!J424</f>
        <v>320788</v>
      </c>
      <c r="K48" s="343">
        <f t="shared" si="18"/>
        <v>0.16082012500000001</v>
      </c>
      <c r="L48" s="344">
        <f t="shared" si="6"/>
        <v>1286561</v>
      </c>
      <c r="M48" s="345">
        <f t="shared" si="3"/>
        <v>6713439</v>
      </c>
      <c r="N48" s="346">
        <f t="shared" si="19"/>
        <v>0.83917987500000002</v>
      </c>
    </row>
    <row r="49" spans="1:16" ht="15">
      <c r="A49" s="334">
        <v>202120206</v>
      </c>
      <c r="B49" s="351" t="s">
        <v>52</v>
      </c>
      <c r="C49" s="336">
        <f>'PAC INICIAL 2020'!C48</f>
        <v>2500000</v>
      </c>
      <c r="D49" s="342"/>
      <c r="E49" s="338"/>
      <c r="F49" s="339"/>
      <c r="G49" s="347"/>
      <c r="H49" s="341">
        <f t="shared" si="20"/>
        <v>2500000</v>
      </c>
      <c r="I49" s="342">
        <f>MARZO!I49+MARZO!J49</f>
        <v>278540</v>
      </c>
      <c r="J49" s="2">
        <f>'LIBRO DE PRESUPUESTO'!J460+'LIBRO DE PRESUPUESTO'!J461</f>
        <v>88610</v>
      </c>
      <c r="K49" s="343">
        <f t="shared" si="18"/>
        <v>0.14685999999999999</v>
      </c>
      <c r="L49" s="344">
        <f t="shared" si="6"/>
        <v>367150</v>
      </c>
      <c r="M49" s="345">
        <f t="shared" si="3"/>
        <v>2132850</v>
      </c>
      <c r="N49" s="346">
        <v>0</v>
      </c>
    </row>
    <row r="50" spans="1:16" ht="15">
      <c r="A50" s="334">
        <v>202120207</v>
      </c>
      <c r="B50" s="354" t="s">
        <v>54</v>
      </c>
      <c r="C50" s="336">
        <f>'PAC INICIAL 2020'!C49</f>
        <v>1500000</v>
      </c>
      <c r="D50" s="342"/>
      <c r="E50" s="338"/>
      <c r="F50" s="339"/>
      <c r="G50" s="347"/>
      <c r="H50" s="341">
        <f t="shared" si="20"/>
        <v>1500000</v>
      </c>
      <c r="I50" s="342">
        <f>MARZO!I50+MARZO!J50</f>
        <v>0</v>
      </c>
      <c r="J50" s="342">
        <v>0</v>
      </c>
      <c r="K50" s="343">
        <f t="shared" si="18"/>
        <v>0</v>
      </c>
      <c r="L50" s="344">
        <f t="shared" si="6"/>
        <v>0</v>
      </c>
      <c r="M50" s="345">
        <f t="shared" si="3"/>
        <v>1500000</v>
      </c>
      <c r="N50" s="346">
        <f>M50/H50</f>
        <v>1</v>
      </c>
    </row>
    <row r="51" spans="1:16" ht="15">
      <c r="A51" s="334">
        <v>202120208</v>
      </c>
      <c r="B51" s="351" t="s">
        <v>56</v>
      </c>
      <c r="C51" s="336">
        <f>'PAC INICIAL 2020'!C50</f>
        <v>0</v>
      </c>
      <c r="D51" s="342"/>
      <c r="E51" s="338"/>
      <c r="F51" s="357"/>
      <c r="G51" s="347"/>
      <c r="H51" s="341">
        <f t="shared" si="20"/>
        <v>0</v>
      </c>
      <c r="I51" s="342">
        <f>MARZO!I51+MARZO!J51</f>
        <v>0</v>
      </c>
      <c r="J51" s="342">
        <v>0</v>
      </c>
      <c r="K51" s="343">
        <v>0</v>
      </c>
      <c r="L51" s="344">
        <f t="shared" si="6"/>
        <v>0</v>
      </c>
      <c r="M51" s="345">
        <f t="shared" si="3"/>
        <v>0</v>
      </c>
      <c r="N51" s="346">
        <v>0</v>
      </c>
    </row>
    <row r="52" spans="1:16" ht="15">
      <c r="A52" s="334">
        <v>202120209</v>
      </c>
      <c r="B52" s="351" t="s">
        <v>58</v>
      </c>
      <c r="C52" s="336">
        <f>'PAC INICIAL 2020'!C51</f>
        <v>9400000</v>
      </c>
      <c r="D52" s="342"/>
      <c r="E52" s="338"/>
      <c r="F52" s="339"/>
      <c r="G52" s="347"/>
      <c r="H52" s="341">
        <f t="shared" si="20"/>
        <v>9400000</v>
      </c>
      <c r="I52" s="342">
        <f>MARZO!I52+MARZO!J52</f>
        <v>0</v>
      </c>
      <c r="J52" s="6">
        <f>'LIBRO DE PRESUPUESTO'!J499</f>
        <v>1466865</v>
      </c>
      <c r="K52" s="343">
        <f>L52/H52</f>
        <v>0.15604946808510639</v>
      </c>
      <c r="L52" s="344">
        <f t="shared" si="6"/>
        <v>1466865</v>
      </c>
      <c r="M52" s="345">
        <f t="shared" si="3"/>
        <v>7933135</v>
      </c>
      <c r="N52" s="346">
        <f>M52/H52</f>
        <v>0.84395053191489366</v>
      </c>
    </row>
    <row r="53" spans="1:16" ht="15">
      <c r="A53" s="334">
        <v>202120210</v>
      </c>
      <c r="B53" s="354" t="s">
        <v>60</v>
      </c>
      <c r="C53" s="336">
        <f>'PAC INICIAL 2020'!C52</f>
        <v>10000000</v>
      </c>
      <c r="D53" s="342"/>
      <c r="E53" s="338"/>
      <c r="F53" s="339"/>
      <c r="G53" s="347"/>
      <c r="H53" s="341">
        <f t="shared" si="20"/>
        <v>10000000</v>
      </c>
      <c r="I53" s="342">
        <f>MARZO!I53+MARZO!J53</f>
        <v>1500000</v>
      </c>
      <c r="J53" s="6">
        <v>0</v>
      </c>
      <c r="K53" s="343">
        <f>L53/H53</f>
        <v>0.15</v>
      </c>
      <c r="L53" s="344">
        <f t="shared" si="6"/>
        <v>1500000</v>
      </c>
      <c r="M53" s="345">
        <f t="shared" si="3"/>
        <v>8500000</v>
      </c>
      <c r="N53" s="346">
        <f>M53/H53</f>
        <v>0.85</v>
      </c>
    </row>
    <row r="54" spans="1:16" ht="15">
      <c r="A54" s="334">
        <v>202120211</v>
      </c>
      <c r="B54" s="351" t="s">
        <v>62</v>
      </c>
      <c r="C54" s="336">
        <f>'PAC INICIAL 2020'!C53</f>
        <v>4000000</v>
      </c>
      <c r="D54" s="342"/>
      <c r="E54" s="338"/>
      <c r="F54" s="339"/>
      <c r="G54" s="347"/>
      <c r="H54" s="341">
        <f t="shared" si="20"/>
        <v>4000000</v>
      </c>
      <c r="I54" s="342">
        <f>MARZO!I54+MARZO!J54</f>
        <v>1130000</v>
      </c>
      <c r="J54" s="6">
        <v>0</v>
      </c>
      <c r="K54" s="343">
        <v>0</v>
      </c>
      <c r="L54" s="344">
        <f t="shared" si="6"/>
        <v>1130000</v>
      </c>
      <c r="M54" s="345">
        <f t="shared" si="3"/>
        <v>2870000</v>
      </c>
      <c r="N54" s="346">
        <v>0</v>
      </c>
    </row>
    <row r="55" spans="1:16" ht="15">
      <c r="A55" s="334">
        <v>202120212</v>
      </c>
      <c r="B55" s="351" t="s">
        <v>64</v>
      </c>
      <c r="C55" s="336">
        <f>'PAC INICIAL 2020'!C54</f>
        <v>15000000</v>
      </c>
      <c r="D55" s="342"/>
      <c r="E55" s="338"/>
      <c r="F55" s="339"/>
      <c r="G55" s="347"/>
      <c r="H55" s="341">
        <f t="shared" si="20"/>
        <v>15000000</v>
      </c>
      <c r="I55" s="342">
        <f>MARZO!I55+MARZO!J55</f>
        <v>0</v>
      </c>
      <c r="J55" s="342">
        <v>0</v>
      </c>
      <c r="K55" s="343">
        <v>0</v>
      </c>
      <c r="L55" s="344">
        <f t="shared" si="6"/>
        <v>0</v>
      </c>
      <c r="M55" s="345">
        <f t="shared" si="3"/>
        <v>15000000</v>
      </c>
      <c r="N55" s="346">
        <v>0</v>
      </c>
    </row>
    <row r="56" spans="1:16" ht="15">
      <c r="A56" s="334">
        <v>202120213</v>
      </c>
      <c r="B56" s="351" t="s">
        <v>65</v>
      </c>
      <c r="C56" s="336">
        <f>'PAC INICIAL 2020'!C55</f>
        <v>0</v>
      </c>
      <c r="D56" s="342"/>
      <c r="E56" s="338"/>
      <c r="F56" s="339"/>
      <c r="G56" s="347"/>
      <c r="H56" s="341">
        <f t="shared" si="20"/>
        <v>0</v>
      </c>
      <c r="I56" s="342">
        <f>MARZO!I56+MARZO!J56</f>
        <v>0</v>
      </c>
      <c r="J56" s="342">
        <v>0</v>
      </c>
      <c r="K56" s="343">
        <v>0</v>
      </c>
      <c r="L56" s="344">
        <f t="shared" si="6"/>
        <v>0</v>
      </c>
      <c r="M56" s="345">
        <f t="shared" si="3"/>
        <v>0</v>
      </c>
      <c r="N56" s="346">
        <v>0</v>
      </c>
    </row>
    <row r="57" spans="1:16" ht="15">
      <c r="A57" s="334">
        <v>202120214</v>
      </c>
      <c r="B57" s="351" t="s">
        <v>67</v>
      </c>
      <c r="C57" s="336">
        <f>'PAC INICIAL 2020'!C56</f>
        <v>0</v>
      </c>
      <c r="D57" s="342"/>
      <c r="E57" s="338"/>
      <c r="F57" s="339">
        <f>'LIBRO DE PRESUPUESTO'!G536</f>
        <v>3500000</v>
      </c>
      <c r="G57" s="347"/>
      <c r="H57" s="341">
        <f t="shared" si="20"/>
        <v>3500000</v>
      </c>
      <c r="I57" s="342">
        <f>MARZO!I57+MARZO!J57</f>
        <v>0</v>
      </c>
      <c r="J57" s="342">
        <v>0</v>
      </c>
      <c r="K57" s="343">
        <v>0</v>
      </c>
      <c r="L57" s="344">
        <f t="shared" si="6"/>
        <v>0</v>
      </c>
      <c r="M57" s="345">
        <f t="shared" si="3"/>
        <v>3500000</v>
      </c>
      <c r="N57" s="346">
        <v>0</v>
      </c>
    </row>
    <row r="58" spans="1:16" ht="15">
      <c r="A58" s="358">
        <v>202120215</v>
      </c>
      <c r="B58" s="351" t="s">
        <v>97</v>
      </c>
      <c r="C58" s="336">
        <f>'PAC INICIAL 2020'!C57</f>
        <v>1200000</v>
      </c>
      <c r="D58" s="342"/>
      <c r="E58" s="338"/>
      <c r="F58" s="339"/>
      <c r="G58" s="347"/>
      <c r="H58" s="341">
        <f t="shared" si="20"/>
        <v>1200000</v>
      </c>
      <c r="I58" s="342">
        <f>MARZO!I58+MARZO!J58</f>
        <v>0</v>
      </c>
      <c r="J58" s="342">
        <v>0</v>
      </c>
      <c r="K58" s="343">
        <f>L58/H58</f>
        <v>0</v>
      </c>
      <c r="L58" s="344">
        <f t="shared" si="6"/>
        <v>0</v>
      </c>
      <c r="M58" s="345">
        <f t="shared" si="3"/>
        <v>1200000</v>
      </c>
      <c r="N58" s="346">
        <f>M58/H58</f>
        <v>1</v>
      </c>
    </row>
    <row r="59" spans="1:16" ht="15">
      <c r="A59" s="358">
        <v>202120216</v>
      </c>
      <c r="B59" s="351" t="s">
        <v>148</v>
      </c>
      <c r="C59" s="336">
        <f>'PAC INICIAL 2020'!C58</f>
        <v>1000000</v>
      </c>
      <c r="D59" s="342"/>
      <c r="E59" s="338"/>
      <c r="F59" s="339"/>
      <c r="G59" s="347"/>
      <c r="H59" s="341">
        <f>C59-D59+E59+F59-G59</f>
        <v>1000000</v>
      </c>
      <c r="I59" s="342">
        <f>MARZO!I59+MARZO!J59</f>
        <v>0</v>
      </c>
      <c r="J59" s="342">
        <v>0</v>
      </c>
      <c r="K59" s="343">
        <f>L59/H59</f>
        <v>0</v>
      </c>
      <c r="L59" s="344">
        <f t="shared" si="6"/>
        <v>0</v>
      </c>
      <c r="M59" s="345">
        <f>H59-L59</f>
        <v>1000000</v>
      </c>
      <c r="N59" s="346">
        <f>M59/H59</f>
        <v>1</v>
      </c>
    </row>
    <row r="60" spans="1:16" ht="27" customHeight="1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0</v>
      </c>
      <c r="H60" s="329">
        <f>SUM(H61:H61)</f>
        <v>75000000</v>
      </c>
      <c r="I60" s="329">
        <f>SUM(I61:I61)</f>
        <v>31645000</v>
      </c>
      <c r="J60" s="329">
        <f>SUM(J61:J61)</f>
        <v>0</v>
      </c>
      <c r="K60" s="330">
        <f>K61</f>
        <v>1</v>
      </c>
      <c r="L60" s="331">
        <f>L61</f>
        <v>31645000</v>
      </c>
      <c r="M60" s="348">
        <f>SUM(M61:M61)</f>
        <v>43355000</v>
      </c>
      <c r="N60" s="332">
        <v>0</v>
      </c>
      <c r="P60" s="361"/>
    </row>
    <row r="61" spans="1:16" ht="15">
      <c r="A61" s="368">
        <v>202130101</v>
      </c>
      <c r="B61" s="369" t="s">
        <v>96</v>
      </c>
      <c r="C61" s="336">
        <f>'PAC INICIAL 2020'!C76</f>
        <v>75000000</v>
      </c>
      <c r="D61" s="370">
        <v>0</v>
      </c>
      <c r="E61" s="371"/>
      <c r="F61" s="372"/>
      <c r="G61" s="373"/>
      <c r="H61" s="341">
        <f>C61-D61+E61+F61-G61</f>
        <v>75000000</v>
      </c>
      <c r="I61" s="342">
        <f>MARZO!I61+MARZO!J61</f>
        <v>31645000</v>
      </c>
      <c r="J61" s="370">
        <v>0</v>
      </c>
      <c r="K61" s="343">
        <v>1</v>
      </c>
      <c r="L61" s="344">
        <f>J61+I61</f>
        <v>31645000</v>
      </c>
      <c r="M61" s="345">
        <f t="shared" si="3"/>
        <v>43355000</v>
      </c>
      <c r="N61" s="346">
        <v>0</v>
      </c>
      <c r="P61" s="361"/>
    </row>
    <row r="62" spans="1:16" s="380" customFormat="1" ht="31.5" customHeight="1" thickBot="1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167244166</v>
      </c>
      <c r="F62" s="377">
        <f>F8+F18+F38+F43++F22+F27+F60</f>
        <v>57500000</v>
      </c>
      <c r="G62" s="377">
        <f>G8+G18+G38+G43+G22+G27+G60</f>
        <v>57500000</v>
      </c>
      <c r="H62" s="377">
        <f>H8+H18+H38+H43+H22+H27+H60</f>
        <v>1322370231</v>
      </c>
      <c r="I62" s="377">
        <f>I8+I18+I38+I43+I22+I27+I60</f>
        <v>262711440</v>
      </c>
      <c r="J62" s="377">
        <f>J8+J18+J38+J43+J22+J27+J60</f>
        <v>73782876</v>
      </c>
      <c r="K62" s="378">
        <f>L62/H62</f>
        <v>0.25446301505557711</v>
      </c>
      <c r="L62" s="377">
        <f>L8+L18+L38+L43+L22+L27+L60</f>
        <v>336494316</v>
      </c>
      <c r="M62" s="377">
        <f>M8+M18+M38+M43+M22+M27+M60</f>
        <v>985875915</v>
      </c>
      <c r="N62" s="379">
        <f>M62/H62</f>
        <v>0.74553698494442289</v>
      </c>
    </row>
    <row r="63" spans="1:16" ht="35.25" customHeight="1" thickBot="1">
      <c r="A63" s="381" t="s">
        <v>172</v>
      </c>
      <c r="B63" s="691" t="s">
        <v>173</v>
      </c>
      <c r="C63" s="692"/>
      <c r="D63" s="692"/>
      <c r="E63" s="692"/>
      <c r="F63" s="692"/>
      <c r="G63" s="692"/>
      <c r="H63" s="692"/>
      <c r="I63" s="692"/>
      <c r="J63" s="692"/>
      <c r="K63" s="692"/>
      <c r="L63" s="692"/>
      <c r="M63" s="692"/>
      <c r="N63" s="693"/>
      <c r="P63" s="382"/>
    </row>
    <row r="65" spans="4:13">
      <c r="D65" s="382"/>
      <c r="E65" s="382"/>
      <c r="F65" s="382"/>
      <c r="G65" s="382"/>
      <c r="M65" s="382"/>
    </row>
    <row r="66" spans="4:13">
      <c r="G66" s="382"/>
      <c r="I66" s="382"/>
      <c r="J66" s="385"/>
      <c r="M66" s="382"/>
    </row>
    <row r="67" spans="4:13">
      <c r="D67" s="382"/>
      <c r="J67" s="382"/>
      <c r="K67" s="382"/>
      <c r="M67" s="382"/>
    </row>
    <row r="68" spans="4:13">
      <c r="H68" s="382"/>
      <c r="J68" s="382"/>
      <c r="M68" s="382"/>
    </row>
    <row r="69" spans="4:13">
      <c r="J69" s="382"/>
    </row>
  </sheetData>
  <mergeCells count="5">
    <mergeCell ref="A1:N1"/>
    <mergeCell ref="A2:N2"/>
    <mergeCell ref="A3:N3"/>
    <mergeCell ref="K5:K6"/>
    <mergeCell ref="B63:N63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zoomScale="80" zoomScaleNormal="80" zoomScaleSheetLayoutView="80" workbookViewId="0">
      <pane xSplit="2" ySplit="7" topLeftCell="C29" activePane="bottomRight" state="frozen"/>
      <selection activeCell="J228" sqref="J228"/>
      <selection pane="topRight" activeCell="J228" sqref="J228"/>
      <selection pane="bottomLeft" activeCell="J228" sqref="J228"/>
      <selection pane="bottomRight" activeCell="J228" sqref="J228"/>
    </sheetView>
  </sheetViews>
  <sheetFormatPr baseColWidth="10" defaultRowHeight="14.25"/>
  <cols>
    <col min="1" max="1" width="16" style="383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6.87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>
      <c r="A1" s="679" t="s">
        <v>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</row>
    <row r="2" spans="1:14" ht="18">
      <c r="A2" s="680" t="s">
        <v>156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</row>
    <row r="3" spans="1:14" ht="18">
      <c r="A3" s="680" t="s">
        <v>214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</row>
    <row r="4" spans="1:14" ht="18.75" thickBot="1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0"/>
      <c r="N4" s="303"/>
    </row>
    <row r="5" spans="1:14" ht="23.25" customHeight="1">
      <c r="A5" s="304" t="s">
        <v>157</v>
      </c>
      <c r="B5" s="305" t="s">
        <v>1</v>
      </c>
      <c r="C5" s="306" t="s">
        <v>158</v>
      </c>
      <c r="D5" s="307" t="s">
        <v>159</v>
      </c>
      <c r="E5" s="308" t="s">
        <v>160</v>
      </c>
      <c r="F5" s="308" t="s">
        <v>2</v>
      </c>
      <c r="G5" s="306" t="s">
        <v>161</v>
      </c>
      <c r="H5" s="307" t="s">
        <v>162</v>
      </c>
      <c r="I5" s="308" t="s">
        <v>207</v>
      </c>
      <c r="J5" s="306" t="s">
        <v>164</v>
      </c>
      <c r="K5" s="689" t="s">
        <v>165</v>
      </c>
      <c r="L5" s="309" t="s">
        <v>162</v>
      </c>
      <c r="M5" s="306" t="s">
        <v>166</v>
      </c>
      <c r="N5" s="310" t="s">
        <v>165</v>
      </c>
    </row>
    <row r="6" spans="1:14" ht="23.25" customHeight="1" thickBot="1">
      <c r="A6" s="311"/>
      <c r="B6" s="312"/>
      <c r="C6" s="313" t="s">
        <v>3</v>
      </c>
      <c r="D6" s="314"/>
      <c r="E6" s="315"/>
      <c r="F6" s="315"/>
      <c r="G6" s="313" t="s">
        <v>2</v>
      </c>
      <c r="H6" s="314" t="s">
        <v>158</v>
      </c>
      <c r="I6" s="316" t="s">
        <v>167</v>
      </c>
      <c r="J6" s="313" t="s">
        <v>168</v>
      </c>
      <c r="K6" s="690"/>
      <c r="L6" s="317" t="s">
        <v>169</v>
      </c>
      <c r="M6" s="313" t="s">
        <v>170</v>
      </c>
      <c r="N6" s="318"/>
    </row>
    <row r="7" spans="1:14" ht="1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5"/>
      <c r="N7" s="326"/>
    </row>
    <row r="8" spans="1:14" s="333" customFormat="1" ht="27.75" customHeight="1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167244166</v>
      </c>
      <c r="F8" s="329">
        <f t="shared" si="0"/>
        <v>0</v>
      </c>
      <c r="G8" s="329">
        <f t="shared" si="0"/>
        <v>11500000</v>
      </c>
      <c r="H8" s="329">
        <f t="shared" si="0"/>
        <v>806121490</v>
      </c>
      <c r="I8" s="329">
        <f t="shared" si="0"/>
        <v>75207988</v>
      </c>
      <c r="J8" s="329">
        <f>SUM(J9:J17)</f>
        <v>42242524</v>
      </c>
      <c r="K8" s="330">
        <f t="shared" ref="K8:K19" si="1">L8/H8</f>
        <v>0.14569827681929184</v>
      </c>
      <c r="L8" s="331">
        <f>I8+J8</f>
        <v>117450512</v>
      </c>
      <c r="M8" s="329">
        <f>SUM(M9:M17)</f>
        <v>688670978</v>
      </c>
      <c r="N8" s="332">
        <f>M8/H8</f>
        <v>0.85430172318070818</v>
      </c>
    </row>
    <row r="9" spans="1:14" ht="1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</f>
        <v>11500000</v>
      </c>
      <c r="H9" s="341">
        <f>C9-D9+E9+F9-G9</f>
        <v>476731324</v>
      </c>
      <c r="I9" s="342">
        <f>FEBRERO!I9+FEBRERO!J9</f>
        <v>74876536</v>
      </c>
      <c r="J9" s="4">
        <f>'LIBRO DE PRESUPUESTO'!J10</f>
        <v>36520548</v>
      </c>
      <c r="K9" s="343">
        <f t="shared" si="1"/>
        <v>0.2336684803199548</v>
      </c>
      <c r="L9" s="344">
        <f t="shared" ref="L9:L15" si="2">J9+I9</f>
        <v>111397084</v>
      </c>
      <c r="M9" s="345">
        <f t="shared" ref="M9:M61" si="3">H9-L9</f>
        <v>365334240</v>
      </c>
      <c r="N9" s="346">
        <f>M9/H9</f>
        <v>0.7663315196800452</v>
      </c>
    </row>
    <row r="10" spans="1:14" ht="15">
      <c r="A10" s="334">
        <v>202110101</v>
      </c>
      <c r="B10" s="335" t="s">
        <v>217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v>0</v>
      </c>
      <c r="J10" s="4">
        <v>0</v>
      </c>
      <c r="K10" s="343">
        <f t="shared" si="1"/>
        <v>0</v>
      </c>
      <c r="L10" s="344">
        <f>J10+I10</f>
        <v>0</v>
      </c>
      <c r="M10" s="345">
        <f>H10-L10</f>
        <v>167244166</v>
      </c>
      <c r="N10" s="346">
        <f>M10/H10</f>
        <v>1</v>
      </c>
    </row>
    <row r="11" spans="1:14" ht="15">
      <c r="A11" s="334">
        <v>202110103</v>
      </c>
      <c r="B11" s="335" t="s">
        <v>11</v>
      </c>
      <c r="C11" s="336">
        <f>'PAC INICIAL 2020'!C25</f>
        <v>1246000</v>
      </c>
      <c r="D11" s="337"/>
      <c r="E11" s="338"/>
      <c r="F11" s="339"/>
      <c r="G11" s="347"/>
      <c r="H11" s="341">
        <f t="shared" ref="H11:H21" si="4">C11-D11+E11+F11-G11</f>
        <v>1246000</v>
      </c>
      <c r="I11" s="342">
        <f>FEBRERO!I10+FEBRERO!J10</f>
        <v>205708</v>
      </c>
      <c r="J11" s="342">
        <f>'LIBRO DE PRESUPUESTO'!J37</f>
        <v>102854</v>
      </c>
      <c r="K11" s="343">
        <f t="shared" si="1"/>
        <v>0.24764205457463884</v>
      </c>
      <c r="L11" s="344">
        <f t="shared" si="2"/>
        <v>308562</v>
      </c>
      <c r="M11" s="345">
        <f t="shared" si="3"/>
        <v>937438</v>
      </c>
      <c r="N11" s="346">
        <f t="shared" ref="N11:N19" si="5">M11/H11</f>
        <v>0.75235794542536116</v>
      </c>
    </row>
    <row r="12" spans="1:14" ht="15.75" customHeight="1">
      <c r="A12" s="334">
        <v>202110104</v>
      </c>
      <c r="B12" s="335" t="s">
        <v>13</v>
      </c>
      <c r="C12" s="336">
        <f>'PAC INICIAL 2020'!C26</f>
        <v>900000</v>
      </c>
      <c r="D12" s="337"/>
      <c r="E12" s="338"/>
      <c r="F12" s="339"/>
      <c r="G12" s="347"/>
      <c r="H12" s="341">
        <f t="shared" si="4"/>
        <v>900000</v>
      </c>
      <c r="I12" s="342">
        <f>FEBRERO!I11+FEBRERO!J11</f>
        <v>125744</v>
      </c>
      <c r="J12" s="342">
        <f>'LIBRO DE PRESUPUESTO'!J53</f>
        <v>62872</v>
      </c>
      <c r="K12" s="343">
        <f t="shared" si="1"/>
        <v>0.20957333333333333</v>
      </c>
      <c r="L12" s="344">
        <f t="shared" si="2"/>
        <v>188616</v>
      </c>
      <c r="M12" s="345">
        <f t="shared" si="3"/>
        <v>711384</v>
      </c>
      <c r="N12" s="346">
        <f t="shared" si="5"/>
        <v>0.79042666666666672</v>
      </c>
    </row>
    <row r="13" spans="1:14" ht="15">
      <c r="A13" s="334">
        <v>202110105</v>
      </c>
      <c r="B13" s="335" t="s">
        <v>15</v>
      </c>
      <c r="C13" s="336">
        <f>'PAC INICIAL 2020'!C27</f>
        <v>17000000</v>
      </c>
      <c r="D13" s="337"/>
      <c r="E13" s="338"/>
      <c r="F13" s="339"/>
      <c r="G13" s="347"/>
      <c r="H13" s="341">
        <f t="shared" si="4"/>
        <v>17000000</v>
      </c>
      <c r="I13" s="342">
        <f>FEBRERO!I12+FEBRERO!J12</f>
        <v>0</v>
      </c>
      <c r="J13" s="4">
        <f>'LIBRO DE PRESUPUESTO'!J70</f>
        <v>574520</v>
      </c>
      <c r="K13" s="343">
        <f t="shared" si="1"/>
        <v>3.3795294117647062E-2</v>
      </c>
      <c r="L13" s="344">
        <f t="shared" si="2"/>
        <v>574520</v>
      </c>
      <c r="M13" s="345">
        <f t="shared" si="3"/>
        <v>16425480</v>
      </c>
      <c r="N13" s="346">
        <f t="shared" si="5"/>
        <v>0.96620470588235297</v>
      </c>
    </row>
    <row r="14" spans="1:14" ht="15">
      <c r="A14" s="334">
        <v>202110106</v>
      </c>
      <c r="B14" s="335" t="s">
        <v>17</v>
      </c>
      <c r="C14" s="336">
        <f>'PAC INICIAL 2020'!C28</f>
        <v>24000000</v>
      </c>
      <c r="D14" s="337"/>
      <c r="E14" s="338"/>
      <c r="F14" s="339"/>
      <c r="G14" s="347"/>
      <c r="H14" s="341">
        <f t="shared" si="4"/>
        <v>24000000</v>
      </c>
      <c r="I14" s="342">
        <f>FEBRERO!I13+FEBRERO!J13</f>
        <v>0</v>
      </c>
      <c r="J14" s="4">
        <f>'LIBRO DE PRESUPUESTO'!J86</f>
        <v>2853010</v>
      </c>
      <c r="K14" s="343">
        <f t="shared" si="1"/>
        <v>0.11887541666666666</v>
      </c>
      <c r="L14" s="344">
        <f t="shared" si="2"/>
        <v>2853010</v>
      </c>
      <c r="M14" s="345">
        <f t="shared" si="3"/>
        <v>21146990</v>
      </c>
      <c r="N14" s="346">
        <f t="shared" si="5"/>
        <v>0.88112458333333332</v>
      </c>
    </row>
    <row r="15" spans="1:14" ht="15">
      <c r="A15" s="334">
        <v>202110107</v>
      </c>
      <c r="B15" s="335" t="s">
        <v>19</v>
      </c>
      <c r="C15" s="336">
        <f>'PAC INICIAL 2020'!C29</f>
        <v>28000000</v>
      </c>
      <c r="D15" s="337"/>
      <c r="E15" s="338"/>
      <c r="F15" s="339"/>
      <c r="G15" s="347"/>
      <c r="H15" s="341">
        <f t="shared" si="4"/>
        <v>28000000</v>
      </c>
      <c r="I15" s="342">
        <f>FEBRERO!I14+FEBRERO!J14</f>
        <v>0</v>
      </c>
      <c r="J15" s="4">
        <f>'LIBRO DE PRESUPUESTO'!J109</f>
        <v>841370</v>
      </c>
      <c r="K15" s="343">
        <f t="shared" si="1"/>
        <v>3.004892857142857E-2</v>
      </c>
      <c r="L15" s="344">
        <f t="shared" si="2"/>
        <v>841370</v>
      </c>
      <c r="M15" s="345">
        <f t="shared" si="3"/>
        <v>27158630</v>
      </c>
      <c r="N15" s="346">
        <f t="shared" si="5"/>
        <v>0.9699510714285714</v>
      </c>
    </row>
    <row r="16" spans="1:14" ht="15">
      <c r="A16" s="334">
        <v>202110109</v>
      </c>
      <c r="B16" s="335" t="s">
        <v>20</v>
      </c>
      <c r="C16" s="336">
        <f>'PAC INICIAL 2020'!C30</f>
        <v>36000000</v>
      </c>
      <c r="D16" s="337"/>
      <c r="E16" s="338"/>
      <c r="F16" s="339"/>
      <c r="G16" s="347"/>
      <c r="H16" s="341">
        <f t="shared" si="4"/>
        <v>36000000</v>
      </c>
      <c r="I16" s="342">
        <f>FEBRERO!I15+FEBRERO!J15</f>
        <v>0</v>
      </c>
      <c r="J16" s="4">
        <f>'LIBRO DE PRESUPUESTO'!J130+'LIBRO DE PRESUPUESTO'!J131</f>
        <v>1287350</v>
      </c>
      <c r="K16" s="343">
        <f t="shared" si="1"/>
        <v>3.5759722222222221E-2</v>
      </c>
      <c r="L16" s="344">
        <f>J16+I16</f>
        <v>1287350</v>
      </c>
      <c r="M16" s="345">
        <f t="shared" si="3"/>
        <v>34712650</v>
      </c>
      <c r="N16" s="346">
        <f t="shared" si="5"/>
        <v>0.96424027777777777</v>
      </c>
    </row>
    <row r="17" spans="1:14" ht="15">
      <c r="A17" s="334">
        <v>202110108</v>
      </c>
      <c r="B17" s="335" t="s">
        <v>21</v>
      </c>
      <c r="C17" s="336">
        <f>'PAC INICIAL 2020'!C31</f>
        <v>55000000</v>
      </c>
      <c r="D17" s="337"/>
      <c r="E17" s="338"/>
      <c r="F17" s="339"/>
      <c r="G17" s="347"/>
      <c r="H17" s="341">
        <f t="shared" si="4"/>
        <v>55000000</v>
      </c>
      <c r="I17" s="342">
        <f>FEBRERO!I16+FEBRERO!J16</f>
        <v>0</v>
      </c>
      <c r="J17" s="4">
        <v>0</v>
      </c>
      <c r="K17" s="343">
        <f t="shared" si="1"/>
        <v>0</v>
      </c>
      <c r="L17" s="344">
        <f t="shared" ref="L17:L59" si="6">J17+I17</f>
        <v>0</v>
      </c>
      <c r="M17" s="345">
        <f t="shared" si="3"/>
        <v>55000000</v>
      </c>
      <c r="N17" s="346">
        <f t="shared" si="5"/>
        <v>1</v>
      </c>
    </row>
    <row r="18" spans="1:14" s="349" customFormat="1" ht="27.75" customHeight="1">
      <c r="A18" s="327">
        <v>2021102</v>
      </c>
      <c r="B18" s="328" t="s">
        <v>23</v>
      </c>
      <c r="C18" s="329">
        <f t="shared" ref="C18:J18" si="7">SUM(C19:C21)</f>
        <v>20000000</v>
      </c>
      <c r="D18" s="329">
        <f t="shared" si="7"/>
        <v>0</v>
      </c>
      <c r="E18" s="329">
        <f t="shared" si="7"/>
        <v>0</v>
      </c>
      <c r="F18" s="329">
        <f t="shared" si="7"/>
        <v>44000000</v>
      </c>
      <c r="G18" s="329">
        <f t="shared" si="7"/>
        <v>0</v>
      </c>
      <c r="H18" s="329">
        <f t="shared" si="7"/>
        <v>64000000</v>
      </c>
      <c r="I18" s="329">
        <f t="shared" si="7"/>
        <v>37000000</v>
      </c>
      <c r="J18" s="329">
        <f t="shared" si="7"/>
        <v>14000000</v>
      </c>
      <c r="K18" s="330">
        <f t="shared" si="1"/>
        <v>0.796875</v>
      </c>
      <c r="L18" s="348">
        <f t="shared" si="6"/>
        <v>51000000</v>
      </c>
      <c r="M18" s="348">
        <f>SUM(M19:M21)</f>
        <v>13000000</v>
      </c>
      <c r="N18" s="332">
        <f t="shared" si="5"/>
        <v>0.203125</v>
      </c>
    </row>
    <row r="19" spans="1:14" ht="15">
      <c r="A19" s="334">
        <v>202110201</v>
      </c>
      <c r="B19" s="350" t="s">
        <v>25</v>
      </c>
      <c r="C19" s="336">
        <f>'PAC INICIAL 2020'!C33</f>
        <v>20000000</v>
      </c>
      <c r="D19" s="342"/>
      <c r="E19" s="338"/>
      <c r="F19" s="339">
        <f>'LIBRO DE PRESUPUESTO'!G161</f>
        <v>36000000</v>
      </c>
      <c r="G19" s="347"/>
      <c r="H19" s="341">
        <f t="shared" si="4"/>
        <v>56000000</v>
      </c>
      <c r="I19" s="342">
        <f>FEBRERO!I18+FEBRERO!J18</f>
        <v>29000000</v>
      </c>
      <c r="J19" s="342">
        <f>'LIBRO DE PRESUPUESTO'!J164</f>
        <v>14000000</v>
      </c>
      <c r="K19" s="343">
        <f t="shared" si="1"/>
        <v>0.7678571428571429</v>
      </c>
      <c r="L19" s="344">
        <f t="shared" si="6"/>
        <v>43000000</v>
      </c>
      <c r="M19" s="345">
        <f t="shared" si="3"/>
        <v>13000000</v>
      </c>
      <c r="N19" s="346">
        <f t="shared" si="5"/>
        <v>0.23214285714285715</v>
      </c>
    </row>
    <row r="20" spans="1:14" ht="1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f>'LIBRO DE PRESUPUESTO'!G176</f>
        <v>8000000</v>
      </c>
      <c r="G20" s="347"/>
      <c r="H20" s="341">
        <f t="shared" si="4"/>
        <v>8000000</v>
      </c>
      <c r="I20" s="342">
        <f>FEBRERO!I19+FEBRERO!J19</f>
        <v>8000000</v>
      </c>
      <c r="J20" s="342">
        <v>0</v>
      </c>
      <c r="K20" s="343">
        <v>0</v>
      </c>
      <c r="L20" s="344">
        <f t="shared" si="6"/>
        <v>8000000</v>
      </c>
      <c r="M20" s="345">
        <f t="shared" si="3"/>
        <v>0</v>
      </c>
      <c r="N20" s="346">
        <v>0</v>
      </c>
    </row>
    <row r="21" spans="1:14" ht="1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4"/>
        <v>0</v>
      </c>
      <c r="I21" s="342">
        <f>FEBRERO!I20+FEBRERO!J20</f>
        <v>0</v>
      </c>
      <c r="J21" s="2">
        <v>0</v>
      </c>
      <c r="K21" s="343">
        <v>0</v>
      </c>
      <c r="L21" s="344">
        <f t="shared" si="6"/>
        <v>0</v>
      </c>
      <c r="M21" s="345">
        <f t="shared" si="3"/>
        <v>0</v>
      </c>
      <c r="N21" s="346">
        <v>0</v>
      </c>
    </row>
    <row r="22" spans="1:14" ht="30">
      <c r="A22" s="327">
        <v>2021103</v>
      </c>
      <c r="B22" s="359" t="s">
        <v>69</v>
      </c>
      <c r="C22" s="360">
        <f>SUM(C23:C26)</f>
        <v>83629741</v>
      </c>
      <c r="D22" s="360">
        <f t="shared" ref="D22:J22" si="8">SUM(D23:D26)</f>
        <v>0</v>
      </c>
      <c r="E22" s="360">
        <f t="shared" si="8"/>
        <v>0</v>
      </c>
      <c r="F22" s="360">
        <f t="shared" si="8"/>
        <v>0</v>
      </c>
      <c r="G22" s="360">
        <f t="shared" si="8"/>
        <v>0</v>
      </c>
      <c r="H22" s="360">
        <f t="shared" si="8"/>
        <v>83629741</v>
      </c>
      <c r="I22" s="360">
        <f t="shared" si="8"/>
        <v>8518420</v>
      </c>
      <c r="J22" s="360">
        <f t="shared" si="8"/>
        <v>3759867</v>
      </c>
      <c r="K22" s="330">
        <f>L22/H22</f>
        <v>0.14681723096571589</v>
      </c>
      <c r="L22" s="360">
        <f>SUM(L23:L26)</f>
        <v>12278287</v>
      </c>
      <c r="M22" s="360">
        <f>SUM(M23:M26)</f>
        <v>71351454</v>
      </c>
      <c r="N22" s="332">
        <f t="shared" ref="N22:N28" si="9">M22/H22</f>
        <v>0.85318276903428414</v>
      </c>
    </row>
    <row r="23" spans="1:14" ht="15">
      <c r="A23" s="334">
        <v>202110301</v>
      </c>
      <c r="B23" s="351" t="s">
        <v>71</v>
      </c>
      <c r="C23" s="336">
        <f>'PAC INICIAL 2020'!C60</f>
        <v>16000083</v>
      </c>
      <c r="D23" s="337"/>
      <c r="E23" s="338"/>
      <c r="F23" s="339"/>
      <c r="G23" s="347"/>
      <c r="H23" s="341">
        <f>C23-D23+E23+F23-G23</f>
        <v>16000083</v>
      </c>
      <c r="I23" s="342">
        <f>FEBRERO!I22+FEBRERO!J22</f>
        <v>0</v>
      </c>
      <c r="J23" s="5">
        <v>0</v>
      </c>
      <c r="K23" s="343">
        <f t="shared" ref="K23:K36" si="10">L23/H23</f>
        <v>0</v>
      </c>
      <c r="L23" s="344">
        <f>J23+I23</f>
        <v>0</v>
      </c>
      <c r="M23" s="345">
        <f>H23-L23</f>
        <v>16000083</v>
      </c>
      <c r="N23" s="346">
        <f t="shared" si="9"/>
        <v>1</v>
      </c>
    </row>
    <row r="24" spans="1:14" ht="15">
      <c r="A24" s="334">
        <v>202110302</v>
      </c>
      <c r="B24" s="351" t="s">
        <v>73</v>
      </c>
      <c r="C24" s="336">
        <f>'PAC INICIAL 2020'!C61</f>
        <v>46429658</v>
      </c>
      <c r="D24" s="337"/>
      <c r="E24" s="338"/>
      <c r="F24" s="339"/>
      <c r="G24" s="347"/>
      <c r="H24" s="341">
        <f>C24-D24+E24+F24-G24</f>
        <v>46429658</v>
      </c>
      <c r="I24" s="342">
        <f>FEBRERO!I23+FEBRERO!J23</f>
        <v>6494442</v>
      </c>
      <c r="J24" s="4">
        <f>'LIBRO DE PRESUPUESTO'!J574</f>
        <v>3104879</v>
      </c>
      <c r="K24" s="343">
        <f t="shared" si="10"/>
        <v>0.20674976757313182</v>
      </c>
      <c r="L24" s="344">
        <f>J24+I24</f>
        <v>9599321</v>
      </c>
      <c r="M24" s="345">
        <f>H24-L24</f>
        <v>36830337</v>
      </c>
      <c r="N24" s="346">
        <f t="shared" si="9"/>
        <v>0.79325023242686821</v>
      </c>
    </row>
    <row r="25" spans="1:14" ht="15">
      <c r="A25" s="334">
        <v>202110304</v>
      </c>
      <c r="B25" s="351" t="s">
        <v>74</v>
      </c>
      <c r="C25" s="336">
        <f>'PAC INICIAL 2020'!C62</f>
        <v>14000000</v>
      </c>
      <c r="D25" s="337"/>
      <c r="E25" s="338"/>
      <c r="F25" s="339"/>
      <c r="G25" s="347"/>
      <c r="H25" s="341">
        <f>C25-D25+E25+F25-G25</f>
        <v>14000000</v>
      </c>
      <c r="I25" s="342">
        <f>FEBRERO!I24+FEBRERO!J24</f>
        <v>2023978</v>
      </c>
      <c r="J25" s="4">
        <f>'LIBRO DE PRESUPUESTO'!J589</f>
        <v>654988</v>
      </c>
      <c r="K25" s="343">
        <f t="shared" si="10"/>
        <v>0.19135471428571429</v>
      </c>
      <c r="L25" s="344">
        <f>J25+I25</f>
        <v>2678966</v>
      </c>
      <c r="M25" s="345">
        <f>H25-L25</f>
        <v>11321034</v>
      </c>
      <c r="N25" s="346">
        <f t="shared" si="9"/>
        <v>0.80864528571428573</v>
      </c>
    </row>
    <row r="26" spans="1:14" ht="15">
      <c r="A26" s="334">
        <v>202110305</v>
      </c>
      <c r="B26" s="351" t="s">
        <v>75</v>
      </c>
      <c r="C26" s="336">
        <f>'PAC INICIAL 2020'!C63</f>
        <v>7200000</v>
      </c>
      <c r="D26" s="362"/>
      <c r="E26" s="338"/>
      <c r="F26" s="339"/>
      <c r="G26" s="363"/>
      <c r="H26" s="341">
        <f>C26-D26+E26+F26-G26</f>
        <v>7200000</v>
      </c>
      <c r="I26" s="342">
        <f>FEBRERO!I25+FEBRERO!J25</f>
        <v>0</v>
      </c>
      <c r="J26" s="341">
        <v>0</v>
      </c>
      <c r="K26" s="343">
        <f t="shared" si="10"/>
        <v>0</v>
      </c>
      <c r="L26" s="344">
        <f>J26+I26</f>
        <v>0</v>
      </c>
      <c r="M26" s="345">
        <f>H26-L26</f>
        <v>7200000</v>
      </c>
      <c r="N26" s="346">
        <f t="shared" si="9"/>
        <v>1</v>
      </c>
    </row>
    <row r="27" spans="1:14" ht="15.75">
      <c r="A27" s="327">
        <v>2021104</v>
      </c>
      <c r="B27" s="364" t="s">
        <v>76</v>
      </c>
      <c r="C27" s="360">
        <f t="shared" ref="C27:J27" si="11">SUM(C28:C37)</f>
        <v>177100000</v>
      </c>
      <c r="D27" s="360">
        <f t="shared" si="11"/>
        <v>0</v>
      </c>
      <c r="E27" s="360">
        <f t="shared" si="11"/>
        <v>0</v>
      </c>
      <c r="F27" s="360">
        <f t="shared" si="11"/>
        <v>0</v>
      </c>
      <c r="G27" s="360">
        <f t="shared" si="11"/>
        <v>46000000</v>
      </c>
      <c r="H27" s="360">
        <f t="shared" si="11"/>
        <v>131100000</v>
      </c>
      <c r="I27" s="329">
        <f t="shared" si="11"/>
        <v>14481811</v>
      </c>
      <c r="J27" s="329">
        <f t="shared" si="11"/>
        <v>7172097</v>
      </c>
      <c r="K27" s="330">
        <f>L27/H27</f>
        <v>0.16517092295957284</v>
      </c>
      <c r="L27" s="331">
        <f>SUM(L28:L37)</f>
        <v>21653908</v>
      </c>
      <c r="M27" s="348">
        <f>SUM(M28:M37)</f>
        <v>109446092</v>
      </c>
      <c r="N27" s="332">
        <f t="shared" si="9"/>
        <v>0.83482907704042719</v>
      </c>
    </row>
    <row r="28" spans="1:14" ht="15">
      <c r="A28" s="365">
        <v>202110401</v>
      </c>
      <c r="B28" s="351" t="s">
        <v>78</v>
      </c>
      <c r="C28" s="336">
        <f>'PAC INICIAL 2020'!C65</f>
        <v>56000000</v>
      </c>
      <c r="D28" s="337"/>
      <c r="E28" s="338"/>
      <c r="F28" s="339"/>
      <c r="G28" s="347">
        <f>'LIBRO DE PRESUPUESTO'!H615</f>
        <v>46000000</v>
      </c>
      <c r="H28" s="341">
        <f t="shared" ref="H28:H37" si="12">C28-D28+E28+F28-G28</f>
        <v>10000000</v>
      </c>
      <c r="I28" s="342">
        <f>FEBRERO!I27+FEBRERO!J27</f>
        <v>102050</v>
      </c>
      <c r="J28" s="2">
        <v>0</v>
      </c>
      <c r="K28" s="343">
        <f t="shared" si="10"/>
        <v>1.0205000000000001E-2</v>
      </c>
      <c r="L28" s="344">
        <f t="shared" ref="L28:L38" si="13">J28+I28</f>
        <v>102050</v>
      </c>
      <c r="M28" s="345">
        <f t="shared" ref="M28:M37" si="14">H28-L28</f>
        <v>9897950</v>
      </c>
      <c r="N28" s="346">
        <f t="shared" si="9"/>
        <v>0.98979499999999998</v>
      </c>
    </row>
    <row r="29" spans="1:14" ht="15">
      <c r="A29" s="334">
        <v>202110402</v>
      </c>
      <c r="B29" s="351" t="s">
        <v>73</v>
      </c>
      <c r="C29" s="336">
        <f>'PAC INICIAL 2020'!C66</f>
        <v>0</v>
      </c>
      <c r="D29" s="337"/>
      <c r="E29" s="338"/>
      <c r="F29" s="339"/>
      <c r="G29" s="347"/>
      <c r="H29" s="341">
        <f t="shared" si="12"/>
        <v>0</v>
      </c>
      <c r="I29" s="342">
        <f>FEBRERO!I28+FEBRERO!J28</f>
        <v>0</v>
      </c>
      <c r="J29" s="342">
        <v>0</v>
      </c>
      <c r="K29" s="343">
        <v>0</v>
      </c>
      <c r="L29" s="353">
        <f t="shared" si="13"/>
        <v>0</v>
      </c>
      <c r="M29" s="345">
        <f t="shared" si="14"/>
        <v>0</v>
      </c>
      <c r="N29" s="346">
        <v>0</v>
      </c>
    </row>
    <row r="30" spans="1:14" ht="15">
      <c r="A30" s="334">
        <v>202110403</v>
      </c>
      <c r="B30" s="351" t="s">
        <v>81</v>
      </c>
      <c r="C30" s="336">
        <f>'PAC INICIAL 2020'!C67</f>
        <v>3900000</v>
      </c>
      <c r="D30" s="337"/>
      <c r="E30" s="338"/>
      <c r="F30" s="339"/>
      <c r="G30" s="347"/>
      <c r="H30" s="341">
        <f t="shared" si="12"/>
        <v>3900000</v>
      </c>
      <c r="I30" s="342">
        <f>FEBRERO!I29+FEBRERO!J29</f>
        <v>391700</v>
      </c>
      <c r="J30" s="4">
        <f>'LIBRO DE PRESUPUESTO'!J634</f>
        <v>191100</v>
      </c>
      <c r="K30" s="343">
        <f t="shared" si="10"/>
        <v>0.14943589743589744</v>
      </c>
      <c r="L30" s="344">
        <f t="shared" si="13"/>
        <v>582800</v>
      </c>
      <c r="M30" s="345">
        <f t="shared" si="14"/>
        <v>3317200</v>
      </c>
      <c r="N30" s="346">
        <f t="shared" ref="N30:N36" si="15">M30/H30</f>
        <v>0.85056410256410253</v>
      </c>
    </row>
    <row r="31" spans="1:14" ht="15">
      <c r="A31" s="334">
        <v>202110404</v>
      </c>
      <c r="B31" s="351" t="s">
        <v>74</v>
      </c>
      <c r="C31" s="336">
        <f>'PAC INICIAL 2020'!C68</f>
        <v>52000000</v>
      </c>
      <c r="D31" s="337"/>
      <c r="E31" s="338"/>
      <c r="F31" s="339"/>
      <c r="G31" s="347"/>
      <c r="H31" s="341">
        <f t="shared" si="12"/>
        <v>52000000</v>
      </c>
      <c r="I31" s="342">
        <f>FEBRERO!I30+FEBRERO!J30</f>
        <v>7244461</v>
      </c>
      <c r="J31" s="366">
        <f>'LIBRO DE PRESUPUESTO'!J650</f>
        <v>3691397</v>
      </c>
      <c r="K31" s="343">
        <f t="shared" si="10"/>
        <v>0.21030496153846154</v>
      </c>
      <c r="L31" s="344">
        <f t="shared" si="13"/>
        <v>10935858</v>
      </c>
      <c r="M31" s="345">
        <f t="shared" si="14"/>
        <v>41064142</v>
      </c>
      <c r="N31" s="346">
        <f t="shared" si="15"/>
        <v>0.78969503846153843</v>
      </c>
    </row>
    <row r="32" spans="1:14" ht="15">
      <c r="A32" s="334">
        <v>202110405</v>
      </c>
      <c r="B32" s="351" t="s">
        <v>84</v>
      </c>
      <c r="C32" s="336">
        <f>'PAC INICIAL 2020'!C69</f>
        <v>27000000</v>
      </c>
      <c r="D32" s="337"/>
      <c r="E32" s="338"/>
      <c r="F32" s="339"/>
      <c r="G32" s="347"/>
      <c r="H32" s="341">
        <f t="shared" si="12"/>
        <v>27000000</v>
      </c>
      <c r="I32" s="342">
        <f>FEBRERO!I31+FEBRERO!J31</f>
        <v>2996200</v>
      </c>
      <c r="J32" s="4">
        <f>'LIBRO DE PRESUPUESTO'!J666</f>
        <v>1461400</v>
      </c>
      <c r="K32" s="343">
        <f t="shared" si="10"/>
        <v>0.1650962962962963</v>
      </c>
      <c r="L32" s="344">
        <f t="shared" si="13"/>
        <v>4457600</v>
      </c>
      <c r="M32" s="345">
        <f t="shared" si="14"/>
        <v>22542400</v>
      </c>
      <c r="N32" s="346">
        <f t="shared" si="15"/>
        <v>0.8349037037037037</v>
      </c>
    </row>
    <row r="33" spans="1:14" ht="15">
      <c r="A33" s="334">
        <v>202110406</v>
      </c>
      <c r="B33" s="351" t="s">
        <v>86</v>
      </c>
      <c r="C33" s="336">
        <f>'PAC INICIAL 2020'!C70</f>
        <v>23000000</v>
      </c>
      <c r="D33" s="337"/>
      <c r="E33" s="338"/>
      <c r="F33" s="339"/>
      <c r="G33" s="347"/>
      <c r="H33" s="341">
        <f t="shared" si="12"/>
        <v>23000000</v>
      </c>
      <c r="I33" s="342">
        <f>FEBRERO!I32+FEBRERO!J32</f>
        <v>2246900</v>
      </c>
      <c r="J33" s="4">
        <f>'LIBRO DE PRESUPUESTO'!J682</f>
        <v>1096000</v>
      </c>
      <c r="K33" s="343">
        <f t="shared" si="10"/>
        <v>0.14534347826086957</v>
      </c>
      <c r="L33" s="344">
        <f t="shared" si="13"/>
        <v>3342900</v>
      </c>
      <c r="M33" s="345">
        <f t="shared" si="14"/>
        <v>19657100</v>
      </c>
      <c r="N33" s="346">
        <f t="shared" si="15"/>
        <v>0.85465652173913043</v>
      </c>
    </row>
    <row r="34" spans="1:14" ht="15">
      <c r="A34" s="334">
        <v>202110407</v>
      </c>
      <c r="B34" s="351" t="s">
        <v>88</v>
      </c>
      <c r="C34" s="336">
        <f>'PAC INICIAL 2020'!C71</f>
        <v>4000000</v>
      </c>
      <c r="D34" s="337"/>
      <c r="E34" s="338"/>
      <c r="F34" s="339"/>
      <c r="G34" s="347"/>
      <c r="H34" s="341">
        <f t="shared" si="12"/>
        <v>4000000</v>
      </c>
      <c r="I34" s="342">
        <f>FEBRERO!I33+FEBRERO!J33</f>
        <v>375500</v>
      </c>
      <c r="J34" s="4">
        <f>'LIBRO DE PRESUPUESTO'!J698</f>
        <v>183200</v>
      </c>
      <c r="K34" s="343">
        <f t="shared" si="10"/>
        <v>0.13967499999999999</v>
      </c>
      <c r="L34" s="344">
        <f t="shared" si="13"/>
        <v>558700</v>
      </c>
      <c r="M34" s="345">
        <f t="shared" si="14"/>
        <v>3441300</v>
      </c>
      <c r="N34" s="346">
        <f t="shared" si="15"/>
        <v>0.86032500000000001</v>
      </c>
    </row>
    <row r="35" spans="1:14" ht="15">
      <c r="A35" s="334">
        <v>202110408</v>
      </c>
      <c r="B35" s="351" t="s">
        <v>90</v>
      </c>
      <c r="C35" s="336">
        <f>'PAC INICIAL 2020'!C72</f>
        <v>4000000</v>
      </c>
      <c r="D35" s="337"/>
      <c r="E35" s="338"/>
      <c r="F35" s="339"/>
      <c r="G35" s="347"/>
      <c r="H35" s="341">
        <f t="shared" si="12"/>
        <v>4000000</v>
      </c>
      <c r="I35" s="342">
        <f>FEBRERO!I34+FEBRERO!J34</f>
        <v>375500</v>
      </c>
      <c r="J35" s="4">
        <f>'LIBRO DE PRESUPUESTO'!J713</f>
        <v>183200</v>
      </c>
      <c r="K35" s="343">
        <f t="shared" si="10"/>
        <v>0.13967499999999999</v>
      </c>
      <c r="L35" s="344">
        <f t="shared" si="13"/>
        <v>558700</v>
      </c>
      <c r="M35" s="345">
        <f t="shared" si="14"/>
        <v>3441300</v>
      </c>
      <c r="N35" s="346">
        <f t="shared" si="15"/>
        <v>0.86032500000000001</v>
      </c>
    </row>
    <row r="36" spans="1:14" ht="15">
      <c r="A36" s="334">
        <v>202110409</v>
      </c>
      <c r="B36" s="351" t="s">
        <v>92</v>
      </c>
      <c r="C36" s="336">
        <f>'PAC INICIAL 2020'!C73</f>
        <v>7200000</v>
      </c>
      <c r="D36" s="337"/>
      <c r="E36" s="338"/>
      <c r="F36" s="339"/>
      <c r="G36" s="347"/>
      <c r="H36" s="341">
        <f t="shared" si="12"/>
        <v>7200000</v>
      </c>
      <c r="I36" s="342">
        <f>FEBRERO!I35+FEBRERO!J35</f>
        <v>749500</v>
      </c>
      <c r="J36" s="4">
        <f>'LIBRO DE PRESUPUESTO'!J733</f>
        <v>365800</v>
      </c>
      <c r="K36" s="343">
        <f t="shared" si="10"/>
        <v>0.15490277777777778</v>
      </c>
      <c r="L36" s="344">
        <f t="shared" si="13"/>
        <v>1115300</v>
      </c>
      <c r="M36" s="345">
        <f t="shared" si="14"/>
        <v>6084700</v>
      </c>
      <c r="N36" s="346">
        <f t="shared" si="15"/>
        <v>0.84509722222222228</v>
      </c>
    </row>
    <row r="37" spans="1:14" ht="15">
      <c r="A37" s="334">
        <v>202110410</v>
      </c>
      <c r="B37" s="351" t="s">
        <v>94</v>
      </c>
      <c r="C37" s="336">
        <f>'PAC INICIAL 2020'!C74</f>
        <v>0</v>
      </c>
      <c r="D37" s="342"/>
      <c r="E37" s="338"/>
      <c r="F37" s="339"/>
      <c r="G37" s="347"/>
      <c r="H37" s="341">
        <f t="shared" si="12"/>
        <v>0</v>
      </c>
      <c r="I37" s="342">
        <f>FEBRERO!I36+FEBRERO!J36</f>
        <v>0</v>
      </c>
      <c r="J37" s="342">
        <v>0</v>
      </c>
      <c r="K37" s="343">
        <v>0</v>
      </c>
      <c r="L37" s="353">
        <f t="shared" si="13"/>
        <v>0</v>
      </c>
      <c r="M37" s="345">
        <f t="shared" si="14"/>
        <v>0</v>
      </c>
      <c r="N37" s="346">
        <v>0</v>
      </c>
    </row>
    <row r="38" spans="1:14" s="349" customFormat="1" ht="27.75" customHeight="1">
      <c r="A38" s="327">
        <v>2021201</v>
      </c>
      <c r="B38" s="352" t="s">
        <v>31</v>
      </c>
      <c r="C38" s="329">
        <f t="shared" ref="C38:J38" si="16">SUM(C39:C42)</f>
        <v>21300000</v>
      </c>
      <c r="D38" s="329">
        <f t="shared" si="16"/>
        <v>0</v>
      </c>
      <c r="E38" s="329">
        <f t="shared" si="16"/>
        <v>0</v>
      </c>
      <c r="F38" s="329">
        <f t="shared" si="16"/>
        <v>0</v>
      </c>
      <c r="G38" s="329">
        <f t="shared" si="16"/>
        <v>0</v>
      </c>
      <c r="H38" s="329">
        <f t="shared" si="16"/>
        <v>21300000</v>
      </c>
      <c r="I38" s="329">
        <f t="shared" si="16"/>
        <v>1799800</v>
      </c>
      <c r="J38" s="329">
        <f t="shared" si="16"/>
        <v>4608700</v>
      </c>
      <c r="K38" s="330">
        <f>L38/H38</f>
        <v>0.30086854460093898</v>
      </c>
      <c r="L38" s="348">
        <f t="shared" si="13"/>
        <v>6408500</v>
      </c>
      <c r="M38" s="329">
        <f>SUM(M39:M42)</f>
        <v>14891500</v>
      </c>
      <c r="N38" s="332">
        <f>M38/H38</f>
        <v>0.69913145539906107</v>
      </c>
    </row>
    <row r="39" spans="1:14" ht="15">
      <c r="A39" s="334">
        <v>202120101</v>
      </c>
      <c r="B39" s="351" t="s">
        <v>33</v>
      </c>
      <c r="C39" s="336">
        <f>'PAC INICIAL 2020'!C38</f>
        <v>6000000</v>
      </c>
      <c r="D39" s="342"/>
      <c r="E39" s="338"/>
      <c r="F39" s="339"/>
      <c r="G39" s="347"/>
      <c r="H39" s="341">
        <f>C39-D39+E39+F39-G39</f>
        <v>6000000</v>
      </c>
      <c r="I39" s="342">
        <f>FEBRERO!I38+FEBRERO!J38</f>
        <v>0</v>
      </c>
      <c r="J39" s="2">
        <f>'LIBRO DE PRESUPUESTO'!J188</f>
        <v>3600000</v>
      </c>
      <c r="K39" s="343">
        <v>0</v>
      </c>
      <c r="L39" s="344">
        <f t="shared" si="6"/>
        <v>3600000</v>
      </c>
      <c r="M39" s="345">
        <f t="shared" si="3"/>
        <v>2400000</v>
      </c>
      <c r="N39" s="346">
        <v>0</v>
      </c>
    </row>
    <row r="40" spans="1:14" ht="15">
      <c r="A40" s="334">
        <v>202120102</v>
      </c>
      <c r="B40" s="354" t="s">
        <v>35</v>
      </c>
      <c r="C40" s="336">
        <f>'PAC INICIAL 2020'!C39</f>
        <v>14000000</v>
      </c>
      <c r="D40" s="342"/>
      <c r="E40" s="338"/>
      <c r="F40" s="339"/>
      <c r="G40" s="347"/>
      <c r="H40" s="341">
        <f>C40-D40+E40+F40-G40</f>
        <v>14000000</v>
      </c>
      <c r="I40" s="342">
        <f>FEBRERO!I39+FEBRERO!J39</f>
        <v>1799800</v>
      </c>
      <c r="J40" s="342">
        <f>'LIBRO DE PRESUPUESTO'!J201</f>
        <v>1008700</v>
      </c>
      <c r="K40" s="343">
        <f>L40/H40</f>
        <v>0.20060714285714284</v>
      </c>
      <c r="L40" s="344">
        <f t="shared" si="6"/>
        <v>2808500</v>
      </c>
      <c r="M40" s="345">
        <f t="shared" si="3"/>
        <v>11191500</v>
      </c>
      <c r="N40" s="355">
        <f>M40/H40</f>
        <v>0.79939285714285713</v>
      </c>
    </row>
    <row r="41" spans="1:14" ht="15">
      <c r="A41" s="334">
        <v>202120104</v>
      </c>
      <c r="B41" s="351" t="s">
        <v>37</v>
      </c>
      <c r="C41" s="336">
        <f>'PAC INICIAL 2020'!C40</f>
        <v>1300000</v>
      </c>
      <c r="D41" s="342"/>
      <c r="E41" s="338"/>
      <c r="F41" s="339"/>
      <c r="G41" s="356"/>
      <c r="H41" s="341">
        <f>C41-D41+E41+F41-G41</f>
        <v>1300000</v>
      </c>
      <c r="I41" s="342">
        <f>FEBRERO!I40+FEBRERO!J40</f>
        <v>0</v>
      </c>
      <c r="J41" s="342">
        <v>0</v>
      </c>
      <c r="K41" s="343">
        <f>L41/H41</f>
        <v>0</v>
      </c>
      <c r="L41" s="344">
        <f t="shared" si="6"/>
        <v>0</v>
      </c>
      <c r="M41" s="345">
        <f t="shared" si="3"/>
        <v>1300000</v>
      </c>
      <c r="N41" s="355">
        <f>M41/H41</f>
        <v>1</v>
      </c>
    </row>
    <row r="42" spans="1:14" ht="15">
      <c r="A42" s="334">
        <v>202120105</v>
      </c>
      <c r="B42" s="351" t="s">
        <v>39</v>
      </c>
      <c r="C42" s="336">
        <f>'PAC INICIAL 2020'!C41</f>
        <v>0</v>
      </c>
      <c r="D42" s="342"/>
      <c r="E42" s="338"/>
      <c r="F42" s="339"/>
      <c r="G42" s="347"/>
      <c r="H42" s="341">
        <f>C42-D42+E42+F42-G42</f>
        <v>0</v>
      </c>
      <c r="I42" s="342">
        <f>FEBRERO!I41+FEBRERO!J41</f>
        <v>0</v>
      </c>
      <c r="J42" s="342">
        <v>0</v>
      </c>
      <c r="K42" s="343">
        <v>0</v>
      </c>
      <c r="L42" s="353">
        <f t="shared" si="6"/>
        <v>0</v>
      </c>
      <c r="M42" s="345">
        <f t="shared" si="3"/>
        <v>0</v>
      </c>
      <c r="N42" s="355">
        <v>0</v>
      </c>
    </row>
    <row r="43" spans="1:14" s="349" customFormat="1" ht="27.75" customHeight="1">
      <c r="A43" s="327">
        <v>2021202</v>
      </c>
      <c r="B43" s="352" t="s">
        <v>41</v>
      </c>
      <c r="C43" s="329">
        <f t="shared" ref="C43:J43" si="17">SUM(C44:C59)</f>
        <v>127719000</v>
      </c>
      <c r="D43" s="329">
        <f t="shared" si="17"/>
        <v>0</v>
      </c>
      <c r="E43" s="329">
        <f t="shared" si="17"/>
        <v>0</v>
      </c>
      <c r="F43" s="329">
        <f t="shared" si="17"/>
        <v>13500000</v>
      </c>
      <c r="G43" s="329">
        <f t="shared" si="17"/>
        <v>0</v>
      </c>
      <c r="H43" s="329">
        <f t="shared" si="17"/>
        <v>141219000</v>
      </c>
      <c r="I43" s="329">
        <f t="shared" si="17"/>
        <v>12466212</v>
      </c>
      <c r="J43" s="329">
        <f t="shared" si="17"/>
        <v>9809021</v>
      </c>
      <c r="K43" s="330">
        <f t="shared" ref="K43:K50" si="18">L43/H43</f>
        <v>0.15773538263264858</v>
      </c>
      <c r="L43" s="331">
        <f>I43+J43</f>
        <v>22275233</v>
      </c>
      <c r="M43" s="348">
        <f>SUM(M44:M59)</f>
        <v>118943767</v>
      </c>
      <c r="N43" s="332">
        <f t="shared" ref="N43:N48" si="19">M43/H43</f>
        <v>0.84226461736735136</v>
      </c>
    </row>
    <row r="44" spans="1:14" ht="15">
      <c r="A44" s="334">
        <v>202120201</v>
      </c>
      <c r="B44" s="351" t="s">
        <v>43</v>
      </c>
      <c r="C44" s="336">
        <f>'PAC INICIAL 2020'!C43</f>
        <v>9000000</v>
      </c>
      <c r="D44" s="342"/>
      <c r="E44" s="338"/>
      <c r="F44" s="339">
        <f>'LIBRO DE PRESUPUESTO'!G227</f>
        <v>10000000</v>
      </c>
      <c r="G44" s="347"/>
      <c r="H44" s="341">
        <f t="shared" ref="H44:H58" si="20">C44-D44+E44+F44-G44</f>
        <v>19000000</v>
      </c>
      <c r="I44" s="342">
        <f>FEBRERO!I43+FEBRERO!J43</f>
        <v>1400000</v>
      </c>
      <c r="J44" s="342">
        <f>'LIBRO DE PRESUPUESTO'!J229</f>
        <v>1162000</v>
      </c>
      <c r="K44" s="343">
        <f t="shared" si="18"/>
        <v>0.1348421052631579</v>
      </c>
      <c r="L44" s="344">
        <f t="shared" si="6"/>
        <v>2562000</v>
      </c>
      <c r="M44" s="345">
        <f t="shared" si="3"/>
        <v>16438000</v>
      </c>
      <c r="N44" s="355">
        <f t="shared" si="19"/>
        <v>0.86515789473684213</v>
      </c>
    </row>
    <row r="45" spans="1:14" ht="15">
      <c r="A45" s="334">
        <v>202120202</v>
      </c>
      <c r="B45" s="351" t="s">
        <v>44</v>
      </c>
      <c r="C45" s="336">
        <f>'PAC INICIAL 2020'!C44</f>
        <v>52500000</v>
      </c>
      <c r="D45" s="342"/>
      <c r="E45" s="338"/>
      <c r="F45" s="339"/>
      <c r="G45" s="347"/>
      <c r="H45" s="341">
        <f t="shared" si="20"/>
        <v>52500000</v>
      </c>
      <c r="I45" s="342">
        <f>FEBRERO!I44+FEBRERO!J44</f>
        <v>8926450</v>
      </c>
      <c r="J45" s="342">
        <f>'LIBRO DE PRESUPUESTO'!J265+'LIBRO DE PRESUPUESTO'!J266</f>
        <v>3925870</v>
      </c>
      <c r="K45" s="343">
        <f t="shared" si="18"/>
        <v>0.24480609523809524</v>
      </c>
      <c r="L45" s="344">
        <f t="shared" si="6"/>
        <v>12852320</v>
      </c>
      <c r="M45" s="345">
        <f t="shared" si="3"/>
        <v>39647680</v>
      </c>
      <c r="N45" s="355">
        <f t="shared" si="19"/>
        <v>0.75519390476190473</v>
      </c>
    </row>
    <row r="46" spans="1:14" ht="15">
      <c r="A46" s="334">
        <v>202120203</v>
      </c>
      <c r="B46" s="351" t="s">
        <v>46</v>
      </c>
      <c r="C46" s="336">
        <f>'PAC INICIAL 2020'!C45</f>
        <v>2000000</v>
      </c>
      <c r="D46" s="342"/>
      <c r="E46" s="338"/>
      <c r="F46" s="339"/>
      <c r="G46" s="347"/>
      <c r="H46" s="341">
        <f t="shared" si="20"/>
        <v>2000000</v>
      </c>
      <c r="I46" s="342">
        <f>FEBRERO!I45+FEBRERO!J45</f>
        <v>300000</v>
      </c>
      <c r="J46" s="4">
        <f>'LIBRO DE PRESUPUESTO'!J383</f>
        <v>222000</v>
      </c>
      <c r="K46" s="343">
        <f t="shared" si="18"/>
        <v>0.26100000000000001</v>
      </c>
      <c r="L46" s="344">
        <f t="shared" si="6"/>
        <v>522000</v>
      </c>
      <c r="M46" s="345">
        <f t="shared" si="3"/>
        <v>1478000</v>
      </c>
      <c r="N46" s="355">
        <f t="shared" si="19"/>
        <v>0.73899999999999999</v>
      </c>
    </row>
    <row r="47" spans="1:14" ht="15">
      <c r="A47" s="334">
        <v>202120204</v>
      </c>
      <c r="B47" s="351" t="s">
        <v>48</v>
      </c>
      <c r="C47" s="336">
        <f>'PAC INICIAL 2020'!C46</f>
        <v>11619000</v>
      </c>
      <c r="D47" s="342"/>
      <c r="E47" s="338"/>
      <c r="F47" s="339"/>
      <c r="G47" s="347"/>
      <c r="H47" s="341">
        <f t="shared" si="20"/>
        <v>11619000</v>
      </c>
      <c r="I47" s="342">
        <f>FEBRERO!I46+FEBRERO!J46</f>
        <v>1196000</v>
      </c>
      <c r="J47" s="4">
        <f>'LIBRO DE PRESUPUESTO'!J404</f>
        <v>1268600</v>
      </c>
      <c r="K47" s="343">
        <f t="shared" si="18"/>
        <v>0.2121180824511576</v>
      </c>
      <c r="L47" s="344">
        <f t="shared" si="6"/>
        <v>2464600</v>
      </c>
      <c r="M47" s="345">
        <f t="shared" si="3"/>
        <v>9154400</v>
      </c>
      <c r="N47" s="346">
        <f t="shared" si="19"/>
        <v>0.7878819175488424</v>
      </c>
    </row>
    <row r="48" spans="1:14" ht="15">
      <c r="A48" s="334">
        <v>202120205</v>
      </c>
      <c r="B48" s="351" t="s">
        <v>50</v>
      </c>
      <c r="C48" s="336">
        <f>'PAC INICIAL 2020'!C47</f>
        <v>8000000</v>
      </c>
      <c r="D48" s="342"/>
      <c r="E48" s="338"/>
      <c r="F48" s="339"/>
      <c r="G48" s="347"/>
      <c r="H48" s="341">
        <f t="shared" si="20"/>
        <v>8000000</v>
      </c>
      <c r="I48" s="342">
        <f>FEBRERO!I47+FEBRERO!J47</f>
        <v>453752</v>
      </c>
      <c r="J48" s="4">
        <f>'LIBRO DE PRESUPUESTO'!J420+'LIBRO DE PRESUPUESTO'!J421+'LIBRO DE PRESUPUESTO'!J422</f>
        <v>512021</v>
      </c>
      <c r="K48" s="343">
        <f t="shared" si="18"/>
        <v>0.120721625</v>
      </c>
      <c r="L48" s="344">
        <f t="shared" si="6"/>
        <v>965773</v>
      </c>
      <c r="M48" s="345">
        <f t="shared" si="3"/>
        <v>7034227</v>
      </c>
      <c r="N48" s="346">
        <f t="shared" si="19"/>
        <v>0.87927837499999995</v>
      </c>
    </row>
    <row r="49" spans="1:16" ht="15">
      <c r="A49" s="334">
        <v>202120206</v>
      </c>
      <c r="B49" s="351" t="s">
        <v>52</v>
      </c>
      <c r="C49" s="336">
        <f>'PAC INICIAL 2020'!C48</f>
        <v>2500000</v>
      </c>
      <c r="D49" s="342"/>
      <c r="E49" s="338"/>
      <c r="F49" s="339"/>
      <c r="G49" s="347"/>
      <c r="H49" s="341">
        <f t="shared" si="20"/>
        <v>2500000</v>
      </c>
      <c r="I49" s="342">
        <f>FEBRERO!I48+FEBRERO!J48</f>
        <v>190010</v>
      </c>
      <c r="J49" s="2">
        <f>'LIBRO DE PRESUPUESTO'!J458+'LIBRO DE PRESUPUESTO'!J459</f>
        <v>88530</v>
      </c>
      <c r="K49" s="343">
        <f t="shared" si="18"/>
        <v>0.111416</v>
      </c>
      <c r="L49" s="344">
        <f t="shared" si="6"/>
        <v>278540</v>
      </c>
      <c r="M49" s="345">
        <f t="shared" si="3"/>
        <v>2221460</v>
      </c>
      <c r="N49" s="346">
        <v>0</v>
      </c>
    </row>
    <row r="50" spans="1:16" ht="15">
      <c r="A50" s="334">
        <v>202120207</v>
      </c>
      <c r="B50" s="354" t="s">
        <v>54</v>
      </c>
      <c r="C50" s="336">
        <f>'PAC INICIAL 2020'!C49</f>
        <v>1500000</v>
      </c>
      <c r="D50" s="342"/>
      <c r="E50" s="338"/>
      <c r="F50" s="339"/>
      <c r="G50" s="347"/>
      <c r="H50" s="341">
        <f t="shared" si="20"/>
        <v>1500000</v>
      </c>
      <c r="I50" s="342">
        <f>FEBRERO!I49+FEBRERO!J49</f>
        <v>0</v>
      </c>
      <c r="J50" s="342">
        <v>0</v>
      </c>
      <c r="K50" s="343">
        <f t="shared" si="18"/>
        <v>0</v>
      </c>
      <c r="L50" s="344">
        <f t="shared" si="6"/>
        <v>0</v>
      </c>
      <c r="M50" s="345">
        <f t="shared" si="3"/>
        <v>1500000</v>
      </c>
      <c r="N50" s="346">
        <f>M50/H50</f>
        <v>1</v>
      </c>
    </row>
    <row r="51" spans="1:16" ht="15">
      <c r="A51" s="334">
        <v>202120208</v>
      </c>
      <c r="B51" s="351" t="s">
        <v>56</v>
      </c>
      <c r="C51" s="336">
        <f>'PAC INICIAL 2020'!C50</f>
        <v>0</v>
      </c>
      <c r="D51" s="342"/>
      <c r="E51" s="338"/>
      <c r="F51" s="357"/>
      <c r="G51" s="347"/>
      <c r="H51" s="341">
        <f t="shared" si="20"/>
        <v>0</v>
      </c>
      <c r="I51" s="342">
        <f>FEBRERO!I50+FEBRERO!J50</f>
        <v>0</v>
      </c>
      <c r="J51" s="342">
        <v>0</v>
      </c>
      <c r="K51" s="343">
        <v>0</v>
      </c>
      <c r="L51" s="344">
        <f t="shared" si="6"/>
        <v>0</v>
      </c>
      <c r="M51" s="345">
        <f t="shared" si="3"/>
        <v>0</v>
      </c>
      <c r="N51" s="346">
        <v>0</v>
      </c>
    </row>
    <row r="52" spans="1:16" ht="15">
      <c r="A52" s="334">
        <v>202120209</v>
      </c>
      <c r="B52" s="351" t="s">
        <v>58</v>
      </c>
      <c r="C52" s="336">
        <f>'PAC INICIAL 2020'!C51</f>
        <v>9400000</v>
      </c>
      <c r="D52" s="342"/>
      <c r="E52" s="338"/>
      <c r="F52" s="339"/>
      <c r="G52" s="347"/>
      <c r="H52" s="341">
        <f t="shared" si="20"/>
        <v>9400000</v>
      </c>
      <c r="I52" s="342">
        <f>FEBRERO!I51+FEBRERO!J51</f>
        <v>0</v>
      </c>
      <c r="J52" s="6">
        <v>0</v>
      </c>
      <c r="K52" s="343">
        <f>L52/H52</f>
        <v>0</v>
      </c>
      <c r="L52" s="344">
        <f t="shared" si="6"/>
        <v>0</v>
      </c>
      <c r="M52" s="345">
        <f t="shared" si="3"/>
        <v>9400000</v>
      </c>
      <c r="N52" s="346">
        <f>M52/H52</f>
        <v>1</v>
      </c>
    </row>
    <row r="53" spans="1:16" ht="15">
      <c r="A53" s="334">
        <v>202120210</v>
      </c>
      <c r="B53" s="354" t="s">
        <v>60</v>
      </c>
      <c r="C53" s="336">
        <f>'PAC INICIAL 2020'!C52</f>
        <v>10000000</v>
      </c>
      <c r="D53" s="342"/>
      <c r="E53" s="338"/>
      <c r="F53" s="339"/>
      <c r="G53" s="347"/>
      <c r="H53" s="341">
        <f t="shared" si="20"/>
        <v>10000000</v>
      </c>
      <c r="I53" s="342">
        <f>FEBRERO!I52+FEBRERO!J52</f>
        <v>0</v>
      </c>
      <c r="J53" s="6">
        <f>'LIBRO DE PRESUPUESTO'!J508</f>
        <v>1500000</v>
      </c>
      <c r="K53" s="343">
        <f>L53/H53</f>
        <v>0.15</v>
      </c>
      <c r="L53" s="344">
        <f t="shared" si="6"/>
        <v>1500000</v>
      </c>
      <c r="M53" s="345">
        <f t="shared" si="3"/>
        <v>8500000</v>
      </c>
      <c r="N53" s="346">
        <f>M53/H53</f>
        <v>0.85</v>
      </c>
    </row>
    <row r="54" spans="1:16" ht="15">
      <c r="A54" s="334">
        <v>202120211</v>
      </c>
      <c r="B54" s="351" t="s">
        <v>62</v>
      </c>
      <c r="C54" s="336">
        <f>'PAC INICIAL 2020'!C53</f>
        <v>4000000</v>
      </c>
      <c r="D54" s="342"/>
      <c r="E54" s="338"/>
      <c r="F54" s="339"/>
      <c r="G54" s="347"/>
      <c r="H54" s="341">
        <f t="shared" si="20"/>
        <v>4000000</v>
      </c>
      <c r="I54" s="342">
        <f>FEBRERO!I53+FEBRERO!J53</f>
        <v>0</v>
      </c>
      <c r="J54" s="6">
        <f>'LIBRO DE PRESUPUESTO'!J518</f>
        <v>1130000</v>
      </c>
      <c r="K54" s="343">
        <v>0</v>
      </c>
      <c r="L54" s="344">
        <f t="shared" si="6"/>
        <v>1130000</v>
      </c>
      <c r="M54" s="345">
        <f t="shared" si="3"/>
        <v>2870000</v>
      </c>
      <c r="N54" s="346">
        <v>0</v>
      </c>
    </row>
    <row r="55" spans="1:16" ht="15">
      <c r="A55" s="334">
        <v>202120212</v>
      </c>
      <c r="B55" s="351" t="s">
        <v>64</v>
      </c>
      <c r="C55" s="336">
        <f>'PAC INICIAL 2020'!C54</f>
        <v>15000000</v>
      </c>
      <c r="D55" s="342"/>
      <c r="E55" s="338"/>
      <c r="F55" s="339"/>
      <c r="G55" s="347"/>
      <c r="H55" s="341">
        <f t="shared" si="20"/>
        <v>15000000</v>
      </c>
      <c r="I55" s="342">
        <f>FEBRERO!I54+FEBRERO!J54</f>
        <v>0</v>
      </c>
      <c r="J55" s="342">
        <v>0</v>
      </c>
      <c r="K55" s="343">
        <v>0</v>
      </c>
      <c r="L55" s="344">
        <f t="shared" si="6"/>
        <v>0</v>
      </c>
      <c r="M55" s="345">
        <f t="shared" si="3"/>
        <v>15000000</v>
      </c>
      <c r="N55" s="346">
        <v>0</v>
      </c>
    </row>
    <row r="56" spans="1:16" ht="15">
      <c r="A56" s="334">
        <v>202120213</v>
      </c>
      <c r="B56" s="351" t="s">
        <v>65</v>
      </c>
      <c r="C56" s="336">
        <f>'PAC INICIAL 2020'!C55</f>
        <v>0</v>
      </c>
      <c r="D56" s="342"/>
      <c r="E56" s="338"/>
      <c r="F56" s="339"/>
      <c r="G56" s="347"/>
      <c r="H56" s="341">
        <f t="shared" si="20"/>
        <v>0</v>
      </c>
      <c r="I56" s="342">
        <f>FEBRERO!I55+FEBRERO!J55</f>
        <v>0</v>
      </c>
      <c r="J56" s="342">
        <v>0</v>
      </c>
      <c r="K56" s="343">
        <v>0</v>
      </c>
      <c r="L56" s="344">
        <f t="shared" si="6"/>
        <v>0</v>
      </c>
      <c r="M56" s="345">
        <f t="shared" si="3"/>
        <v>0</v>
      </c>
      <c r="N56" s="346">
        <v>0</v>
      </c>
    </row>
    <row r="57" spans="1:16" ht="15">
      <c r="A57" s="334">
        <v>202120214</v>
      </c>
      <c r="B57" s="351" t="s">
        <v>67</v>
      </c>
      <c r="C57" s="336">
        <f>'PAC INICIAL 2020'!C56</f>
        <v>0</v>
      </c>
      <c r="D57" s="342"/>
      <c r="E57" s="338"/>
      <c r="F57" s="339">
        <f>'LIBRO DE PRESUPUESTO'!G536</f>
        <v>3500000</v>
      </c>
      <c r="G57" s="347"/>
      <c r="H57" s="341">
        <f t="shared" si="20"/>
        <v>3500000</v>
      </c>
      <c r="I57" s="342">
        <f>FEBRERO!I56+FEBRERO!J56</f>
        <v>0</v>
      </c>
      <c r="J57" s="342">
        <v>0</v>
      </c>
      <c r="K57" s="343">
        <v>0</v>
      </c>
      <c r="L57" s="344">
        <f t="shared" si="6"/>
        <v>0</v>
      </c>
      <c r="M57" s="345">
        <f t="shared" si="3"/>
        <v>3500000</v>
      </c>
      <c r="N57" s="346">
        <v>0</v>
      </c>
    </row>
    <row r="58" spans="1:16" ht="15">
      <c r="A58" s="358">
        <v>202120215</v>
      </c>
      <c r="B58" s="351" t="s">
        <v>97</v>
      </c>
      <c r="C58" s="336">
        <f>'PAC INICIAL 2020'!C57</f>
        <v>1200000</v>
      </c>
      <c r="D58" s="342"/>
      <c r="E58" s="338"/>
      <c r="F58" s="339"/>
      <c r="G58" s="347"/>
      <c r="H58" s="341">
        <f t="shared" si="20"/>
        <v>1200000</v>
      </c>
      <c r="I58" s="342">
        <f>FEBRERO!I57+FEBRERO!J57</f>
        <v>0</v>
      </c>
      <c r="J58" s="342">
        <v>0</v>
      </c>
      <c r="K58" s="343">
        <f>L58/H58</f>
        <v>0</v>
      </c>
      <c r="L58" s="344">
        <f t="shared" si="6"/>
        <v>0</v>
      </c>
      <c r="M58" s="345">
        <f t="shared" si="3"/>
        <v>1200000</v>
      </c>
      <c r="N58" s="346">
        <f>M58/H58</f>
        <v>1</v>
      </c>
    </row>
    <row r="59" spans="1:16" ht="15">
      <c r="A59" s="358">
        <v>202120216</v>
      </c>
      <c r="B59" s="351" t="s">
        <v>148</v>
      </c>
      <c r="C59" s="336">
        <f>'PAC INICIAL 2020'!C58</f>
        <v>1000000</v>
      </c>
      <c r="D59" s="342"/>
      <c r="E59" s="338"/>
      <c r="F59" s="339"/>
      <c r="G59" s="347"/>
      <c r="H59" s="341">
        <f>C59-D59+E59+F59-G59</f>
        <v>1000000</v>
      </c>
      <c r="I59" s="342">
        <f>FEBRERO!I58+FEBRERO!J58</f>
        <v>0</v>
      </c>
      <c r="J59" s="342">
        <v>0</v>
      </c>
      <c r="K59" s="343">
        <f>L59/H59</f>
        <v>0</v>
      </c>
      <c r="L59" s="344">
        <f t="shared" si="6"/>
        <v>0</v>
      </c>
      <c r="M59" s="345">
        <f>H59-L59</f>
        <v>1000000</v>
      </c>
      <c r="N59" s="346">
        <f>M59/H59</f>
        <v>1</v>
      </c>
    </row>
    <row r="60" spans="1:16" ht="27" customHeight="1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0</v>
      </c>
      <c r="H60" s="329">
        <f>SUM(H61:H61)</f>
        <v>75000000</v>
      </c>
      <c r="I60" s="329">
        <f>SUM(I61:I61)</f>
        <v>0</v>
      </c>
      <c r="J60" s="329">
        <f>SUM(J61:J61)</f>
        <v>31645000</v>
      </c>
      <c r="K60" s="330">
        <f>K61</f>
        <v>1</v>
      </c>
      <c r="L60" s="331">
        <f>L61</f>
        <v>31645000</v>
      </c>
      <c r="M60" s="348">
        <f>SUM(M61:M61)</f>
        <v>43355000</v>
      </c>
      <c r="N60" s="332">
        <v>0</v>
      </c>
      <c r="P60" s="361"/>
    </row>
    <row r="61" spans="1:16" ht="15">
      <c r="A61" s="368">
        <v>202130101</v>
      </c>
      <c r="B61" s="369" t="s">
        <v>96</v>
      </c>
      <c r="C61" s="336">
        <f>'PAC INICIAL 2020'!C76</f>
        <v>75000000</v>
      </c>
      <c r="D61" s="370">
        <v>0</v>
      </c>
      <c r="E61" s="371"/>
      <c r="F61" s="372"/>
      <c r="G61" s="373"/>
      <c r="H61" s="341">
        <f>C61-D61+E61+F61-G61</f>
        <v>75000000</v>
      </c>
      <c r="I61" s="342">
        <f>ENERO!K60</f>
        <v>0</v>
      </c>
      <c r="J61" s="370">
        <f>'LIBRO DE PRESUPUESTO'!J758</f>
        <v>31645000</v>
      </c>
      <c r="K61" s="343">
        <v>1</v>
      </c>
      <c r="L61" s="344">
        <f>J61+I61</f>
        <v>31645000</v>
      </c>
      <c r="M61" s="345">
        <f t="shared" si="3"/>
        <v>43355000</v>
      </c>
      <c r="N61" s="346">
        <v>0</v>
      </c>
      <c r="P61" s="361"/>
    </row>
    <row r="62" spans="1:16" s="380" customFormat="1" ht="31.5" customHeight="1" thickBot="1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167244166</v>
      </c>
      <c r="F62" s="377">
        <f>F8+F18+F38+F43++F22+F27+F60</f>
        <v>57500000</v>
      </c>
      <c r="G62" s="377">
        <f>G8+G18+G38+G43+G22+G27+G60</f>
        <v>57500000</v>
      </c>
      <c r="H62" s="377">
        <f>H8+H18+H38+H43+H22+H27+H60</f>
        <v>1322370231</v>
      </c>
      <c r="I62" s="377">
        <f>I8+I18+I38+I43+I22+I27+I60</f>
        <v>149474231</v>
      </c>
      <c r="J62" s="377">
        <f>J8+J18+J38+J43+J22+J27+J60</f>
        <v>113237209</v>
      </c>
      <c r="K62" s="378">
        <f>L62/H62</f>
        <v>0.19866708569303843</v>
      </c>
      <c r="L62" s="377">
        <f>L8+L18+L38+L43+L22+L27+L60</f>
        <v>262711440</v>
      </c>
      <c r="M62" s="377">
        <f>M8+M18+M38+M43+M22+M27+M60</f>
        <v>1059658791</v>
      </c>
      <c r="N62" s="379">
        <f>M62/H62</f>
        <v>0.80133291430696163</v>
      </c>
    </row>
    <row r="63" spans="1:16" ht="35.25" customHeight="1" thickBot="1">
      <c r="A63" s="381" t="s">
        <v>172</v>
      </c>
      <c r="B63" s="691" t="s">
        <v>173</v>
      </c>
      <c r="C63" s="692"/>
      <c r="D63" s="692"/>
      <c r="E63" s="692"/>
      <c r="F63" s="692"/>
      <c r="G63" s="692"/>
      <c r="H63" s="692"/>
      <c r="I63" s="692"/>
      <c r="J63" s="692"/>
      <c r="K63" s="692"/>
      <c r="L63" s="692"/>
      <c r="M63" s="692"/>
      <c r="N63" s="693"/>
      <c r="P63" s="382"/>
    </row>
    <row r="65" spans="4:13">
      <c r="D65" s="382"/>
      <c r="E65" s="382"/>
      <c r="F65" s="382"/>
      <c r="G65" s="382"/>
      <c r="M65" s="382"/>
    </row>
    <row r="66" spans="4:13">
      <c r="G66" s="382"/>
      <c r="I66" s="382"/>
      <c r="J66" s="385"/>
      <c r="M66" s="382"/>
    </row>
    <row r="67" spans="4:13">
      <c r="D67" s="382"/>
      <c r="J67" s="382"/>
      <c r="K67" s="382"/>
      <c r="M67" s="382"/>
    </row>
    <row r="68" spans="4:13">
      <c r="H68" s="382"/>
      <c r="J68" s="382"/>
      <c r="M68" s="382"/>
    </row>
    <row r="69" spans="4:13">
      <c r="J69" s="382"/>
    </row>
  </sheetData>
  <mergeCells count="5">
    <mergeCell ref="A1:N1"/>
    <mergeCell ref="A2:N2"/>
    <mergeCell ref="A3:N3"/>
    <mergeCell ref="K5:K6"/>
    <mergeCell ref="B63:N63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showGridLines="0" zoomScale="80" zoomScaleNormal="80" zoomScaleSheetLayoutView="80" workbookViewId="0">
      <pane xSplit="2" ySplit="7" topLeftCell="C29" activePane="bottomRight" state="frozen"/>
      <selection activeCell="J228" sqref="J228"/>
      <selection pane="topRight" activeCell="J228" sqref="J228"/>
      <selection pane="bottomLeft" activeCell="J228" sqref="J228"/>
      <selection pane="bottomRight" activeCell="J228" sqref="J228"/>
    </sheetView>
  </sheetViews>
  <sheetFormatPr baseColWidth="10" defaultRowHeight="14.25"/>
  <cols>
    <col min="1" max="1" width="16" style="383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6.87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>
      <c r="A1" s="679" t="s">
        <v>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</row>
    <row r="2" spans="1:14" ht="18">
      <c r="A2" s="680" t="s">
        <v>156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</row>
    <row r="3" spans="1:14" ht="18">
      <c r="A3" s="680" t="s">
        <v>206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</row>
    <row r="4" spans="1:14" ht="18.75" thickBot="1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0"/>
      <c r="N4" s="303"/>
    </row>
    <row r="5" spans="1:14" ht="23.25" customHeight="1">
      <c r="A5" s="304" t="s">
        <v>157</v>
      </c>
      <c r="B5" s="305" t="s">
        <v>1</v>
      </c>
      <c r="C5" s="306" t="s">
        <v>158</v>
      </c>
      <c r="D5" s="307" t="s">
        <v>159</v>
      </c>
      <c r="E5" s="308" t="s">
        <v>160</v>
      </c>
      <c r="F5" s="308" t="s">
        <v>2</v>
      </c>
      <c r="G5" s="306" t="s">
        <v>161</v>
      </c>
      <c r="H5" s="307" t="s">
        <v>162</v>
      </c>
      <c r="I5" s="308" t="s">
        <v>207</v>
      </c>
      <c r="J5" s="306" t="s">
        <v>164</v>
      </c>
      <c r="K5" s="689" t="s">
        <v>165</v>
      </c>
      <c r="L5" s="309" t="s">
        <v>162</v>
      </c>
      <c r="M5" s="306" t="s">
        <v>166</v>
      </c>
      <c r="N5" s="310" t="s">
        <v>165</v>
      </c>
    </row>
    <row r="6" spans="1:14" ht="23.25" customHeight="1" thickBot="1">
      <c r="A6" s="311"/>
      <c r="B6" s="312"/>
      <c r="C6" s="313" t="s">
        <v>3</v>
      </c>
      <c r="D6" s="314"/>
      <c r="E6" s="315"/>
      <c r="F6" s="315"/>
      <c r="G6" s="313" t="s">
        <v>2</v>
      </c>
      <c r="H6" s="314" t="s">
        <v>158</v>
      </c>
      <c r="I6" s="316" t="s">
        <v>167</v>
      </c>
      <c r="J6" s="313" t="s">
        <v>168</v>
      </c>
      <c r="K6" s="690"/>
      <c r="L6" s="317" t="s">
        <v>169</v>
      </c>
      <c r="M6" s="313" t="s">
        <v>170</v>
      </c>
      <c r="N6" s="318"/>
    </row>
    <row r="7" spans="1:14" ht="1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5"/>
      <c r="N7" s="326"/>
    </row>
    <row r="8" spans="1:14" s="333" customFormat="1" ht="27.75" customHeight="1">
      <c r="A8" s="327">
        <v>2021101</v>
      </c>
      <c r="B8" s="328" t="s">
        <v>5</v>
      </c>
      <c r="C8" s="329">
        <f t="shared" ref="C8:I8" si="0">SUM(C9:C16)</f>
        <v>650377324</v>
      </c>
      <c r="D8" s="329">
        <f t="shared" si="0"/>
        <v>0</v>
      </c>
      <c r="E8" s="329">
        <f t="shared" si="0"/>
        <v>0</v>
      </c>
      <c r="F8" s="329">
        <f t="shared" si="0"/>
        <v>0</v>
      </c>
      <c r="G8" s="329">
        <f t="shared" si="0"/>
        <v>11500000</v>
      </c>
      <c r="H8" s="329">
        <f t="shared" si="0"/>
        <v>638877324</v>
      </c>
      <c r="I8" s="329">
        <f t="shared" si="0"/>
        <v>35018214</v>
      </c>
      <c r="J8" s="329">
        <f>SUM(J9:J16)</f>
        <v>40189774</v>
      </c>
      <c r="K8" s="330">
        <f t="shared" ref="K8:K18" si="1">L8/H8</f>
        <v>0.1177189816804329</v>
      </c>
      <c r="L8" s="331">
        <f>I8+J8</f>
        <v>75207988</v>
      </c>
      <c r="M8" s="329">
        <f>SUM(M9:M16)</f>
        <v>563669336</v>
      </c>
      <c r="N8" s="332">
        <f>M8/H8</f>
        <v>0.88228101831956707</v>
      </c>
    </row>
    <row r="9" spans="1:14" ht="1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</f>
        <v>11500000</v>
      </c>
      <c r="H9" s="341">
        <f>C9-D9+E9+F9-G9</f>
        <v>476731324</v>
      </c>
      <c r="I9" s="342">
        <f>ENERO!K9</f>
        <v>34852488</v>
      </c>
      <c r="J9" s="4">
        <f>'LIBRO DE PRESUPUESTO'!J8</f>
        <v>40024048</v>
      </c>
      <c r="K9" s="343">
        <f t="shared" si="1"/>
        <v>0.15706233727574401</v>
      </c>
      <c r="L9" s="344">
        <f>J9+I9</f>
        <v>74876536</v>
      </c>
      <c r="M9" s="345">
        <f t="shared" ref="M9:M60" si="2">H9-L9</f>
        <v>401854788</v>
      </c>
      <c r="N9" s="346">
        <f>M9/H9</f>
        <v>0.84293766272425596</v>
      </c>
    </row>
    <row r="10" spans="1:14" ht="15">
      <c r="A10" s="334">
        <v>202110103</v>
      </c>
      <c r="B10" s="335" t="s">
        <v>11</v>
      </c>
      <c r="C10" s="336">
        <f>'PAC INICIAL 2020'!C25</f>
        <v>1246000</v>
      </c>
      <c r="D10" s="337"/>
      <c r="E10" s="338"/>
      <c r="F10" s="339"/>
      <c r="G10" s="347"/>
      <c r="H10" s="341">
        <f t="shared" ref="H10:H20" si="3">C10-D10+E10+F10-G10</f>
        <v>1246000</v>
      </c>
      <c r="I10" s="342">
        <f>ENERO!K10</f>
        <v>102854</v>
      </c>
      <c r="J10" s="342">
        <f>'LIBRO DE PRESUPUESTO'!J36</f>
        <v>102854</v>
      </c>
      <c r="K10" s="343">
        <f t="shared" si="1"/>
        <v>0.16509470304975923</v>
      </c>
      <c r="L10" s="344">
        <f>J10+I10</f>
        <v>205708</v>
      </c>
      <c r="M10" s="345">
        <f t="shared" si="2"/>
        <v>1040292</v>
      </c>
      <c r="N10" s="346">
        <f t="shared" ref="N10:N18" si="4">M10/H10</f>
        <v>0.83490529695024074</v>
      </c>
    </row>
    <row r="11" spans="1:14" ht="15.75" customHeight="1">
      <c r="A11" s="334">
        <v>202110104</v>
      </c>
      <c r="B11" s="335" t="s">
        <v>13</v>
      </c>
      <c r="C11" s="336">
        <f>'PAC INICIAL 2020'!C26</f>
        <v>900000</v>
      </c>
      <c r="D11" s="337"/>
      <c r="E11" s="338"/>
      <c r="F11" s="339"/>
      <c r="G11" s="347"/>
      <c r="H11" s="341">
        <f t="shared" si="3"/>
        <v>900000</v>
      </c>
      <c r="I11" s="342">
        <f>ENERO!K11</f>
        <v>62872</v>
      </c>
      <c r="J11" s="342">
        <f>'LIBRO DE PRESUPUESTO'!J52</f>
        <v>62872</v>
      </c>
      <c r="K11" s="343">
        <f t="shared" si="1"/>
        <v>0.13971555555555557</v>
      </c>
      <c r="L11" s="344">
        <f>J11+I11</f>
        <v>125744</v>
      </c>
      <c r="M11" s="345">
        <f t="shared" si="2"/>
        <v>774256</v>
      </c>
      <c r="N11" s="346">
        <f t="shared" si="4"/>
        <v>0.86028444444444441</v>
      </c>
    </row>
    <row r="12" spans="1:14" ht="15">
      <c r="A12" s="334">
        <v>202110105</v>
      </c>
      <c r="B12" s="335" t="s">
        <v>15</v>
      </c>
      <c r="C12" s="336">
        <f>'PAC INICIAL 2020'!C27</f>
        <v>17000000</v>
      </c>
      <c r="D12" s="337"/>
      <c r="E12" s="338"/>
      <c r="F12" s="339"/>
      <c r="G12" s="347"/>
      <c r="H12" s="341">
        <f t="shared" si="3"/>
        <v>17000000</v>
      </c>
      <c r="I12" s="342">
        <f>ENERO!K12</f>
        <v>0</v>
      </c>
      <c r="J12" s="4"/>
      <c r="K12" s="343">
        <f t="shared" si="1"/>
        <v>0</v>
      </c>
      <c r="L12" s="344">
        <v>0</v>
      </c>
      <c r="M12" s="345">
        <f t="shared" si="2"/>
        <v>17000000</v>
      </c>
      <c r="N12" s="346">
        <f t="shared" si="4"/>
        <v>1</v>
      </c>
    </row>
    <row r="13" spans="1:14" ht="15">
      <c r="A13" s="334">
        <v>202110106</v>
      </c>
      <c r="B13" s="335" t="s">
        <v>17</v>
      </c>
      <c r="C13" s="336">
        <f>'PAC INICIAL 2020'!C28</f>
        <v>24000000</v>
      </c>
      <c r="D13" s="337"/>
      <c r="E13" s="338"/>
      <c r="F13" s="339"/>
      <c r="G13" s="347"/>
      <c r="H13" s="341">
        <f t="shared" si="3"/>
        <v>24000000</v>
      </c>
      <c r="I13" s="342">
        <f>ENERO!K13</f>
        <v>0</v>
      </c>
      <c r="J13" s="4"/>
      <c r="K13" s="343">
        <f t="shared" si="1"/>
        <v>0</v>
      </c>
      <c r="L13" s="344">
        <v>0</v>
      </c>
      <c r="M13" s="345">
        <f t="shared" si="2"/>
        <v>24000000</v>
      </c>
      <c r="N13" s="346">
        <f t="shared" si="4"/>
        <v>1</v>
      </c>
    </row>
    <row r="14" spans="1:14" ht="15">
      <c r="A14" s="334">
        <v>202110107</v>
      </c>
      <c r="B14" s="335" t="s">
        <v>19</v>
      </c>
      <c r="C14" s="336">
        <f>'PAC INICIAL 2020'!C29</f>
        <v>28000000</v>
      </c>
      <c r="D14" s="337"/>
      <c r="E14" s="338"/>
      <c r="F14" s="339"/>
      <c r="G14" s="347"/>
      <c r="H14" s="341">
        <f t="shared" si="3"/>
        <v>28000000</v>
      </c>
      <c r="I14" s="342">
        <f>ENERO!K14</f>
        <v>0</v>
      </c>
      <c r="J14" s="4"/>
      <c r="K14" s="343">
        <f t="shared" si="1"/>
        <v>0</v>
      </c>
      <c r="L14" s="344">
        <v>0</v>
      </c>
      <c r="M14" s="345">
        <f t="shared" si="2"/>
        <v>28000000</v>
      </c>
      <c r="N14" s="346">
        <f t="shared" si="4"/>
        <v>1</v>
      </c>
    </row>
    <row r="15" spans="1:14" ht="15">
      <c r="A15" s="334">
        <v>202110109</v>
      </c>
      <c r="B15" s="335" t="s">
        <v>20</v>
      </c>
      <c r="C15" s="336">
        <f>'PAC INICIAL 2020'!C30</f>
        <v>36000000</v>
      </c>
      <c r="D15" s="337"/>
      <c r="E15" s="338"/>
      <c r="F15" s="339"/>
      <c r="G15" s="347"/>
      <c r="H15" s="341">
        <f t="shared" si="3"/>
        <v>36000000</v>
      </c>
      <c r="I15" s="342">
        <f>ENERO!K15</f>
        <v>0</v>
      </c>
      <c r="J15" s="4"/>
      <c r="K15" s="343">
        <f t="shared" si="1"/>
        <v>0</v>
      </c>
      <c r="L15" s="344">
        <f>J15+I15</f>
        <v>0</v>
      </c>
      <c r="M15" s="345">
        <f t="shared" si="2"/>
        <v>36000000</v>
      </c>
      <c r="N15" s="346">
        <f t="shared" si="4"/>
        <v>1</v>
      </c>
    </row>
    <row r="16" spans="1:14" ht="15">
      <c r="A16" s="334">
        <v>202110108</v>
      </c>
      <c r="B16" s="335" t="s">
        <v>21</v>
      </c>
      <c r="C16" s="336">
        <f>'PAC INICIAL 2020'!C31</f>
        <v>55000000</v>
      </c>
      <c r="D16" s="337"/>
      <c r="E16" s="338"/>
      <c r="F16" s="339"/>
      <c r="G16" s="347"/>
      <c r="H16" s="341">
        <f t="shared" si="3"/>
        <v>55000000</v>
      </c>
      <c r="I16" s="342">
        <f>ENERO!K16</f>
        <v>0</v>
      </c>
      <c r="J16" s="4">
        <v>0</v>
      </c>
      <c r="K16" s="343">
        <f t="shared" si="1"/>
        <v>0</v>
      </c>
      <c r="L16" s="344">
        <f t="shared" ref="L16:L58" si="5">J16+I16</f>
        <v>0</v>
      </c>
      <c r="M16" s="345">
        <f t="shared" si="2"/>
        <v>55000000</v>
      </c>
      <c r="N16" s="346">
        <f t="shared" si="4"/>
        <v>1</v>
      </c>
    </row>
    <row r="17" spans="1:14" s="349" customFormat="1" ht="27.75" customHeight="1">
      <c r="A17" s="327">
        <v>2021102</v>
      </c>
      <c r="B17" s="328" t="s">
        <v>23</v>
      </c>
      <c r="C17" s="329">
        <f t="shared" ref="C17:J17" si="6">SUM(C18:C20)</f>
        <v>20000000</v>
      </c>
      <c r="D17" s="329">
        <f t="shared" si="6"/>
        <v>0</v>
      </c>
      <c r="E17" s="329">
        <f t="shared" si="6"/>
        <v>0</v>
      </c>
      <c r="F17" s="329">
        <f t="shared" si="6"/>
        <v>44000000</v>
      </c>
      <c r="G17" s="329">
        <f t="shared" si="6"/>
        <v>0</v>
      </c>
      <c r="H17" s="329">
        <f t="shared" si="6"/>
        <v>64000000</v>
      </c>
      <c r="I17" s="329">
        <f t="shared" si="6"/>
        <v>13000000</v>
      </c>
      <c r="J17" s="329">
        <f t="shared" si="6"/>
        <v>24000000</v>
      </c>
      <c r="K17" s="330">
        <f t="shared" si="1"/>
        <v>0.578125</v>
      </c>
      <c r="L17" s="348">
        <f t="shared" si="5"/>
        <v>37000000</v>
      </c>
      <c r="M17" s="348">
        <f>SUM(M18:M20)</f>
        <v>27000000</v>
      </c>
      <c r="N17" s="332">
        <f t="shared" si="4"/>
        <v>0.421875</v>
      </c>
    </row>
    <row r="18" spans="1:14" ht="15">
      <c r="A18" s="334">
        <v>202110201</v>
      </c>
      <c r="B18" s="350" t="s">
        <v>25</v>
      </c>
      <c r="C18" s="336">
        <f>'PAC INICIAL 2020'!C33</f>
        <v>20000000</v>
      </c>
      <c r="D18" s="342"/>
      <c r="E18" s="338"/>
      <c r="F18" s="339">
        <f>'LIBRO DE PRESUPUESTO'!G161</f>
        <v>36000000</v>
      </c>
      <c r="G18" s="347"/>
      <c r="H18" s="341">
        <f t="shared" si="3"/>
        <v>56000000</v>
      </c>
      <c r="I18" s="342">
        <f>ENERO!K18</f>
        <v>5000000</v>
      </c>
      <c r="J18" s="342">
        <f>'LIBRO DE PRESUPUESTO'!J162+'LIBRO DE PRESUPUESTO'!J163</f>
        <v>24000000</v>
      </c>
      <c r="K18" s="343">
        <f t="shared" si="1"/>
        <v>0.5178571428571429</v>
      </c>
      <c r="L18" s="344">
        <f t="shared" si="5"/>
        <v>29000000</v>
      </c>
      <c r="M18" s="345">
        <f t="shared" si="2"/>
        <v>27000000</v>
      </c>
      <c r="N18" s="346">
        <f t="shared" si="4"/>
        <v>0.48214285714285715</v>
      </c>
    </row>
    <row r="19" spans="1:14" ht="15">
      <c r="A19" s="334">
        <v>202110202</v>
      </c>
      <c r="B19" s="335" t="s">
        <v>27</v>
      </c>
      <c r="C19" s="336">
        <f>'PAC INICIAL 2020'!C34</f>
        <v>0</v>
      </c>
      <c r="D19" s="342"/>
      <c r="E19" s="338"/>
      <c r="F19" s="339">
        <f>'LIBRO DE PRESUPUESTO'!G176</f>
        <v>8000000</v>
      </c>
      <c r="G19" s="347"/>
      <c r="H19" s="341">
        <f t="shared" si="3"/>
        <v>8000000</v>
      </c>
      <c r="I19" s="342">
        <f>ENERO!K19</f>
        <v>8000000</v>
      </c>
      <c r="J19" s="342">
        <v>0</v>
      </c>
      <c r="K19" s="343">
        <v>0</v>
      </c>
      <c r="L19" s="344">
        <f t="shared" si="5"/>
        <v>8000000</v>
      </c>
      <c r="M19" s="345">
        <f t="shared" si="2"/>
        <v>0</v>
      </c>
      <c r="N19" s="346">
        <v>0</v>
      </c>
    </row>
    <row r="20" spans="1:14" ht="15">
      <c r="A20" s="334">
        <v>202110203</v>
      </c>
      <c r="B20" s="351" t="s">
        <v>29</v>
      </c>
      <c r="C20" s="336">
        <f>'PAC INICIAL 2020'!C35</f>
        <v>0</v>
      </c>
      <c r="D20" s="342"/>
      <c r="E20" s="338"/>
      <c r="F20" s="339"/>
      <c r="G20" s="347"/>
      <c r="H20" s="341">
        <f t="shared" si="3"/>
        <v>0</v>
      </c>
      <c r="I20" s="342">
        <f>ENERO!K20</f>
        <v>0</v>
      </c>
      <c r="J20" s="2"/>
      <c r="K20" s="343">
        <v>0</v>
      </c>
      <c r="L20" s="344">
        <f t="shared" si="5"/>
        <v>0</v>
      </c>
      <c r="M20" s="345">
        <f t="shared" si="2"/>
        <v>0</v>
      </c>
      <c r="N20" s="346">
        <v>0</v>
      </c>
    </row>
    <row r="21" spans="1:14" ht="30">
      <c r="A21" s="327">
        <v>2021103</v>
      </c>
      <c r="B21" s="359" t="s">
        <v>69</v>
      </c>
      <c r="C21" s="360">
        <f>SUM(C22:C25)</f>
        <v>83629741</v>
      </c>
      <c r="D21" s="360">
        <f t="shared" ref="D21:J21" si="7">SUM(D22:D25)</f>
        <v>0</v>
      </c>
      <c r="E21" s="360">
        <f t="shared" si="7"/>
        <v>0</v>
      </c>
      <c r="F21" s="360">
        <f t="shared" si="7"/>
        <v>0</v>
      </c>
      <c r="G21" s="360">
        <f t="shared" si="7"/>
        <v>0</v>
      </c>
      <c r="H21" s="360">
        <f t="shared" si="7"/>
        <v>83629741</v>
      </c>
      <c r="I21" s="360">
        <f t="shared" si="7"/>
        <v>4233687</v>
      </c>
      <c r="J21" s="360">
        <f t="shared" si="7"/>
        <v>4284733</v>
      </c>
      <c r="K21" s="330">
        <f>L21/H21</f>
        <v>0.10185873946446874</v>
      </c>
      <c r="L21" s="360">
        <f>SUM(L22:L25)</f>
        <v>8518420</v>
      </c>
      <c r="M21" s="360">
        <f>SUM(M22:M25)</f>
        <v>75111321</v>
      </c>
      <c r="N21" s="332">
        <f t="shared" ref="N21:N27" si="8">M21/H21</f>
        <v>0.89814126053553123</v>
      </c>
    </row>
    <row r="22" spans="1:14" ht="15">
      <c r="A22" s="334">
        <v>202110301</v>
      </c>
      <c r="B22" s="351" t="s">
        <v>71</v>
      </c>
      <c r="C22" s="336">
        <f>'PAC INICIAL 2020'!C60</f>
        <v>16000083</v>
      </c>
      <c r="D22" s="337"/>
      <c r="E22" s="338"/>
      <c r="F22" s="339"/>
      <c r="G22" s="347"/>
      <c r="H22" s="341">
        <f>C22-D22+E22+F22-G22</f>
        <v>16000083</v>
      </c>
      <c r="I22" s="342">
        <f>ENERO!K22</f>
        <v>0</v>
      </c>
      <c r="J22" s="5"/>
      <c r="K22" s="343">
        <f t="shared" ref="K22:K35" si="9">L22/H22</f>
        <v>0</v>
      </c>
      <c r="L22" s="344">
        <f>J22+I22</f>
        <v>0</v>
      </c>
      <c r="M22" s="345">
        <f>H22-L22</f>
        <v>16000083</v>
      </c>
      <c r="N22" s="346">
        <f t="shared" si="8"/>
        <v>1</v>
      </c>
    </row>
    <row r="23" spans="1:14" ht="15">
      <c r="A23" s="334">
        <v>202110302</v>
      </c>
      <c r="B23" s="351" t="s">
        <v>73</v>
      </c>
      <c r="C23" s="336">
        <f>'PAC INICIAL 2020'!C61</f>
        <v>46429658</v>
      </c>
      <c r="D23" s="337"/>
      <c r="E23" s="338"/>
      <c r="F23" s="339"/>
      <c r="G23" s="347"/>
      <c r="H23" s="341">
        <f>C23-D23+E23+F23-G23</f>
        <v>46429658</v>
      </c>
      <c r="I23" s="342">
        <f>ENERO!K23</f>
        <v>3091802</v>
      </c>
      <c r="J23" s="4">
        <f>'LIBRO DE PRESUPUESTO'!J573</f>
        <v>3402640</v>
      </c>
      <c r="K23" s="343">
        <f t="shared" si="9"/>
        <v>0.13987701567821154</v>
      </c>
      <c r="L23" s="344">
        <f>J23+I23</f>
        <v>6494442</v>
      </c>
      <c r="M23" s="345">
        <f>H23-L23</f>
        <v>39935216</v>
      </c>
      <c r="N23" s="346">
        <f t="shared" si="8"/>
        <v>0.86012298432178846</v>
      </c>
    </row>
    <row r="24" spans="1:14" ht="15">
      <c r="A24" s="334">
        <v>202110304</v>
      </c>
      <c r="B24" s="351" t="s">
        <v>74</v>
      </c>
      <c r="C24" s="336">
        <f>'PAC INICIAL 2020'!C62</f>
        <v>14000000</v>
      </c>
      <c r="D24" s="337"/>
      <c r="E24" s="338"/>
      <c r="F24" s="339"/>
      <c r="G24" s="347"/>
      <c r="H24" s="341">
        <f>C24-D24+E24+F24-G24</f>
        <v>14000000</v>
      </c>
      <c r="I24" s="342">
        <f>ENERO!K24</f>
        <v>1141885</v>
      </c>
      <c r="J24" s="4">
        <f>'LIBRO DE PRESUPUESTO'!J588</f>
        <v>882093</v>
      </c>
      <c r="K24" s="343">
        <f t="shared" si="9"/>
        <v>0.14456985714285714</v>
      </c>
      <c r="L24" s="344">
        <f>J24+I24</f>
        <v>2023978</v>
      </c>
      <c r="M24" s="345">
        <f>H24-L24</f>
        <v>11976022</v>
      </c>
      <c r="N24" s="346">
        <f t="shared" si="8"/>
        <v>0.85543014285714281</v>
      </c>
    </row>
    <row r="25" spans="1:14" ht="15">
      <c r="A25" s="334">
        <v>202110305</v>
      </c>
      <c r="B25" s="351" t="s">
        <v>75</v>
      </c>
      <c r="C25" s="336">
        <f>'PAC INICIAL 2020'!C63</f>
        <v>7200000</v>
      </c>
      <c r="D25" s="362"/>
      <c r="E25" s="338"/>
      <c r="F25" s="339"/>
      <c r="G25" s="363"/>
      <c r="H25" s="341">
        <f>C25-D25+E25+F25-G25</f>
        <v>7200000</v>
      </c>
      <c r="I25" s="342">
        <f>ENERO!K25</f>
        <v>0</v>
      </c>
      <c r="J25" s="341">
        <v>0</v>
      </c>
      <c r="K25" s="343">
        <f t="shared" si="9"/>
        <v>0</v>
      </c>
      <c r="L25" s="344">
        <f>J25+I25</f>
        <v>0</v>
      </c>
      <c r="M25" s="345">
        <f>H25-L25</f>
        <v>7200000</v>
      </c>
      <c r="N25" s="346">
        <f t="shared" si="8"/>
        <v>1</v>
      </c>
    </row>
    <row r="26" spans="1:14" ht="15.75">
      <c r="A26" s="327">
        <v>2021104</v>
      </c>
      <c r="B26" s="364" t="s">
        <v>76</v>
      </c>
      <c r="C26" s="360">
        <f t="shared" ref="C26:J26" si="10">SUM(C27:C36)</f>
        <v>177100000</v>
      </c>
      <c r="D26" s="360">
        <f t="shared" si="10"/>
        <v>0</v>
      </c>
      <c r="E26" s="360">
        <f t="shared" si="10"/>
        <v>0</v>
      </c>
      <c r="F26" s="360">
        <f t="shared" si="10"/>
        <v>0</v>
      </c>
      <c r="G26" s="360">
        <f t="shared" si="10"/>
        <v>46000000</v>
      </c>
      <c r="H26" s="360">
        <f t="shared" si="10"/>
        <v>131100000</v>
      </c>
      <c r="I26" s="329">
        <f t="shared" si="10"/>
        <v>6544704</v>
      </c>
      <c r="J26" s="329">
        <f t="shared" si="10"/>
        <v>7937107</v>
      </c>
      <c r="K26" s="330">
        <f>L26/H26</f>
        <v>0.11046385202135774</v>
      </c>
      <c r="L26" s="331">
        <f>SUM(L27:L36)</f>
        <v>14481811</v>
      </c>
      <c r="M26" s="348">
        <f>SUM(M27:M36)</f>
        <v>116618189</v>
      </c>
      <c r="N26" s="332">
        <f t="shared" si="8"/>
        <v>0.88953614797864222</v>
      </c>
    </row>
    <row r="27" spans="1:14" ht="15">
      <c r="A27" s="365">
        <v>202110401</v>
      </c>
      <c r="B27" s="351" t="s">
        <v>78</v>
      </c>
      <c r="C27" s="336">
        <f>'PAC INICIAL 2020'!C65</f>
        <v>56000000</v>
      </c>
      <c r="D27" s="337"/>
      <c r="E27" s="338"/>
      <c r="F27" s="339"/>
      <c r="G27" s="347">
        <f>'LIBRO DE PRESUPUESTO'!H615</f>
        <v>46000000</v>
      </c>
      <c r="H27" s="341">
        <f t="shared" ref="H27:H36" si="11">C27-D27+E27+F27-G27</f>
        <v>10000000</v>
      </c>
      <c r="I27" s="342">
        <f>ENERO!K27</f>
        <v>0</v>
      </c>
      <c r="J27" s="2">
        <f>'LIBRO DE PRESUPUESTO'!J616</f>
        <v>102050</v>
      </c>
      <c r="K27" s="343">
        <f t="shared" si="9"/>
        <v>1.0205000000000001E-2</v>
      </c>
      <c r="L27" s="344">
        <f t="shared" ref="L27:L37" si="12">J27+I27</f>
        <v>102050</v>
      </c>
      <c r="M27" s="345">
        <f t="shared" ref="M27:M36" si="13">H27-L27</f>
        <v>9897950</v>
      </c>
      <c r="N27" s="346">
        <f t="shared" si="8"/>
        <v>0.98979499999999998</v>
      </c>
    </row>
    <row r="28" spans="1:14" ht="15">
      <c r="A28" s="334">
        <v>202110402</v>
      </c>
      <c r="B28" s="351" t="s">
        <v>73</v>
      </c>
      <c r="C28" s="336">
        <f>'PAC INICIAL 2020'!C66</f>
        <v>0</v>
      </c>
      <c r="D28" s="337"/>
      <c r="E28" s="338"/>
      <c r="F28" s="339"/>
      <c r="G28" s="347"/>
      <c r="H28" s="341">
        <f t="shared" si="11"/>
        <v>0</v>
      </c>
      <c r="I28" s="342">
        <f>ENERO!K28</f>
        <v>0</v>
      </c>
      <c r="J28" s="342"/>
      <c r="K28" s="343">
        <v>0</v>
      </c>
      <c r="L28" s="353">
        <f t="shared" si="12"/>
        <v>0</v>
      </c>
      <c r="M28" s="345">
        <f t="shared" si="13"/>
        <v>0</v>
      </c>
      <c r="N28" s="346">
        <v>0</v>
      </c>
    </row>
    <row r="29" spans="1:14" ht="15">
      <c r="A29" s="334">
        <v>202110403</v>
      </c>
      <c r="B29" s="351" t="s">
        <v>81</v>
      </c>
      <c r="C29" s="336">
        <f>'PAC INICIAL 2020'!C67</f>
        <v>3900000</v>
      </c>
      <c r="D29" s="337"/>
      <c r="E29" s="338"/>
      <c r="F29" s="339"/>
      <c r="G29" s="347"/>
      <c r="H29" s="341">
        <f t="shared" si="11"/>
        <v>3900000</v>
      </c>
      <c r="I29" s="342">
        <f>ENERO!K29</f>
        <v>182400</v>
      </c>
      <c r="J29" s="4">
        <f>'LIBRO DE PRESUPUESTO'!J633</f>
        <v>209300</v>
      </c>
      <c r="K29" s="343">
        <f t="shared" si="9"/>
        <v>0.10043589743589744</v>
      </c>
      <c r="L29" s="344">
        <f t="shared" si="12"/>
        <v>391700</v>
      </c>
      <c r="M29" s="345">
        <f t="shared" si="13"/>
        <v>3508300</v>
      </c>
      <c r="N29" s="346">
        <f t="shared" ref="N29:N35" si="14">M29/H29</f>
        <v>0.89956410256410257</v>
      </c>
    </row>
    <row r="30" spans="1:14" ht="15">
      <c r="A30" s="334">
        <v>202110404</v>
      </c>
      <c r="B30" s="351" t="s">
        <v>74</v>
      </c>
      <c r="C30" s="336">
        <f>'PAC INICIAL 2020'!C68</f>
        <v>52000000</v>
      </c>
      <c r="D30" s="337"/>
      <c r="E30" s="338"/>
      <c r="F30" s="339"/>
      <c r="G30" s="347"/>
      <c r="H30" s="341">
        <f t="shared" si="11"/>
        <v>52000000</v>
      </c>
      <c r="I30" s="342">
        <f>ENERO!K30</f>
        <v>3223204</v>
      </c>
      <c r="J30" s="366">
        <f>'LIBRO DE PRESUPUESTO'!J649</f>
        <v>4021257</v>
      </c>
      <c r="K30" s="343">
        <f t="shared" si="9"/>
        <v>0.13931655769230769</v>
      </c>
      <c r="L30" s="344">
        <f t="shared" si="12"/>
        <v>7244461</v>
      </c>
      <c r="M30" s="345">
        <f t="shared" si="13"/>
        <v>44755539</v>
      </c>
      <c r="N30" s="346">
        <f t="shared" si="14"/>
        <v>0.86068344230769234</v>
      </c>
    </row>
    <row r="31" spans="1:14" ht="15">
      <c r="A31" s="334">
        <v>202110405</v>
      </c>
      <c r="B31" s="351" t="s">
        <v>84</v>
      </c>
      <c r="C31" s="336">
        <f>'PAC INICIAL 2020'!C69</f>
        <v>27000000</v>
      </c>
      <c r="D31" s="337"/>
      <c r="E31" s="338"/>
      <c r="F31" s="339"/>
      <c r="G31" s="347"/>
      <c r="H31" s="341">
        <f t="shared" si="11"/>
        <v>27000000</v>
      </c>
      <c r="I31" s="342">
        <f>ENERO!K31</f>
        <v>1394700</v>
      </c>
      <c r="J31" s="4">
        <f>'LIBRO DE PRESUPUESTO'!J665</f>
        <v>1601500</v>
      </c>
      <c r="K31" s="343">
        <f t="shared" si="9"/>
        <v>0.11097037037037037</v>
      </c>
      <c r="L31" s="344">
        <f t="shared" si="12"/>
        <v>2996200</v>
      </c>
      <c r="M31" s="345">
        <f t="shared" si="13"/>
        <v>24003800</v>
      </c>
      <c r="N31" s="346">
        <f t="shared" si="14"/>
        <v>0.88902962962962961</v>
      </c>
    </row>
    <row r="32" spans="1:14" ht="15">
      <c r="A32" s="334">
        <v>202110406</v>
      </c>
      <c r="B32" s="351" t="s">
        <v>86</v>
      </c>
      <c r="C32" s="336">
        <f>'PAC INICIAL 2020'!C70</f>
        <v>23000000</v>
      </c>
      <c r="D32" s="337"/>
      <c r="E32" s="338"/>
      <c r="F32" s="339"/>
      <c r="G32" s="347"/>
      <c r="H32" s="341">
        <f t="shared" si="11"/>
        <v>23000000</v>
      </c>
      <c r="I32" s="342">
        <f>ENERO!K32</f>
        <v>1045900</v>
      </c>
      <c r="J32" s="4">
        <f>'LIBRO DE PRESUPUESTO'!J681</f>
        <v>1201000</v>
      </c>
      <c r="K32" s="343">
        <f t="shared" si="9"/>
        <v>9.769130434782608E-2</v>
      </c>
      <c r="L32" s="344">
        <f t="shared" si="12"/>
        <v>2246900</v>
      </c>
      <c r="M32" s="345">
        <f t="shared" si="13"/>
        <v>20753100</v>
      </c>
      <c r="N32" s="346">
        <f t="shared" si="14"/>
        <v>0.90230869565217386</v>
      </c>
    </row>
    <row r="33" spans="1:14" ht="15">
      <c r="A33" s="334">
        <v>202110407</v>
      </c>
      <c r="B33" s="351" t="s">
        <v>88</v>
      </c>
      <c r="C33" s="336">
        <f>'PAC INICIAL 2020'!C71</f>
        <v>4000000</v>
      </c>
      <c r="D33" s="337"/>
      <c r="E33" s="338"/>
      <c r="F33" s="339"/>
      <c r="G33" s="347"/>
      <c r="H33" s="341">
        <f t="shared" si="11"/>
        <v>4000000</v>
      </c>
      <c r="I33" s="342">
        <f>ENERO!K33</f>
        <v>174800</v>
      </c>
      <c r="J33" s="4">
        <f>'LIBRO DE PRESUPUESTO'!J697</f>
        <v>200700</v>
      </c>
      <c r="K33" s="343">
        <f t="shared" si="9"/>
        <v>9.3875E-2</v>
      </c>
      <c r="L33" s="344">
        <f t="shared" si="12"/>
        <v>375500</v>
      </c>
      <c r="M33" s="345">
        <f t="shared" si="13"/>
        <v>3624500</v>
      </c>
      <c r="N33" s="346">
        <f t="shared" si="14"/>
        <v>0.90612499999999996</v>
      </c>
    </row>
    <row r="34" spans="1:14" ht="15">
      <c r="A34" s="334">
        <v>202110408</v>
      </c>
      <c r="B34" s="351" t="s">
        <v>90</v>
      </c>
      <c r="C34" s="336">
        <f>'PAC INICIAL 2020'!C72</f>
        <v>4000000</v>
      </c>
      <c r="D34" s="337"/>
      <c r="E34" s="338"/>
      <c r="F34" s="339"/>
      <c r="G34" s="347"/>
      <c r="H34" s="341">
        <f t="shared" si="11"/>
        <v>4000000</v>
      </c>
      <c r="I34" s="342">
        <f>ENERO!K34</f>
        <v>174800</v>
      </c>
      <c r="J34" s="4">
        <f>'LIBRO DE PRESUPUESTO'!J712</f>
        <v>200700</v>
      </c>
      <c r="K34" s="343">
        <f t="shared" si="9"/>
        <v>9.3875E-2</v>
      </c>
      <c r="L34" s="344">
        <f t="shared" si="12"/>
        <v>375500</v>
      </c>
      <c r="M34" s="345">
        <f t="shared" si="13"/>
        <v>3624500</v>
      </c>
      <c r="N34" s="346">
        <f t="shared" si="14"/>
        <v>0.90612499999999996</v>
      </c>
    </row>
    <row r="35" spans="1:14" ht="15">
      <c r="A35" s="334">
        <v>202110409</v>
      </c>
      <c r="B35" s="351" t="s">
        <v>92</v>
      </c>
      <c r="C35" s="336">
        <f>'PAC INICIAL 2020'!C73</f>
        <v>7200000</v>
      </c>
      <c r="D35" s="337"/>
      <c r="E35" s="338"/>
      <c r="F35" s="339"/>
      <c r="G35" s="347"/>
      <c r="H35" s="341">
        <f t="shared" si="11"/>
        <v>7200000</v>
      </c>
      <c r="I35" s="342">
        <f>ENERO!K35</f>
        <v>348900</v>
      </c>
      <c r="J35" s="4">
        <f>'LIBRO DE PRESUPUESTO'!J732</f>
        <v>400600</v>
      </c>
      <c r="K35" s="343">
        <f t="shared" si="9"/>
        <v>0.10409722222222222</v>
      </c>
      <c r="L35" s="344">
        <f t="shared" si="12"/>
        <v>749500</v>
      </c>
      <c r="M35" s="345">
        <f t="shared" si="13"/>
        <v>6450500</v>
      </c>
      <c r="N35" s="346">
        <f t="shared" si="14"/>
        <v>0.89590277777777783</v>
      </c>
    </row>
    <row r="36" spans="1:14" ht="15">
      <c r="A36" s="334">
        <v>202110410</v>
      </c>
      <c r="B36" s="351" t="s">
        <v>94</v>
      </c>
      <c r="C36" s="336">
        <f>'PAC INICIAL 2020'!C74</f>
        <v>0</v>
      </c>
      <c r="D36" s="342"/>
      <c r="E36" s="338"/>
      <c r="F36" s="339"/>
      <c r="G36" s="347"/>
      <c r="H36" s="341">
        <f t="shared" si="11"/>
        <v>0</v>
      </c>
      <c r="I36" s="342">
        <f>ENERO!K36</f>
        <v>0</v>
      </c>
      <c r="J36" s="342"/>
      <c r="K36" s="343">
        <v>0</v>
      </c>
      <c r="L36" s="353">
        <f t="shared" si="12"/>
        <v>0</v>
      </c>
      <c r="M36" s="345">
        <f t="shared" si="13"/>
        <v>0</v>
      </c>
      <c r="N36" s="346">
        <v>0</v>
      </c>
    </row>
    <row r="37" spans="1:14" s="349" customFormat="1" ht="27.75" customHeight="1">
      <c r="A37" s="327">
        <v>2021201</v>
      </c>
      <c r="B37" s="352" t="s">
        <v>31</v>
      </c>
      <c r="C37" s="329">
        <f t="shared" ref="C37:J37" si="15">SUM(C38:C41)</f>
        <v>21300000</v>
      </c>
      <c r="D37" s="329">
        <f t="shared" si="15"/>
        <v>0</v>
      </c>
      <c r="E37" s="329">
        <f t="shared" si="15"/>
        <v>0</v>
      </c>
      <c r="F37" s="329">
        <f t="shared" si="15"/>
        <v>0</v>
      </c>
      <c r="G37" s="329">
        <f t="shared" si="15"/>
        <v>0</v>
      </c>
      <c r="H37" s="329">
        <f t="shared" si="15"/>
        <v>21300000</v>
      </c>
      <c r="I37" s="329">
        <f t="shared" si="15"/>
        <v>1799800</v>
      </c>
      <c r="J37" s="329">
        <f t="shared" si="15"/>
        <v>0</v>
      </c>
      <c r="K37" s="330">
        <f>L37/H37</f>
        <v>8.4497652582159619E-2</v>
      </c>
      <c r="L37" s="348">
        <f t="shared" si="12"/>
        <v>1799800</v>
      </c>
      <c r="M37" s="329">
        <f>SUM(M38:M41)</f>
        <v>19500200</v>
      </c>
      <c r="N37" s="332">
        <f>M37/H37</f>
        <v>0.91550234741784042</v>
      </c>
    </row>
    <row r="38" spans="1:14" ht="15">
      <c r="A38" s="334">
        <v>202120101</v>
      </c>
      <c r="B38" s="351" t="s">
        <v>33</v>
      </c>
      <c r="C38" s="336">
        <f>'PAC INICIAL 2020'!C38</f>
        <v>6000000</v>
      </c>
      <c r="D38" s="342"/>
      <c r="E38" s="338"/>
      <c r="F38" s="339"/>
      <c r="G38" s="347"/>
      <c r="H38" s="341">
        <f>C38-D38+E38+F38-G38</f>
        <v>6000000</v>
      </c>
      <c r="I38" s="342">
        <f>ENERO!K38</f>
        <v>0</v>
      </c>
      <c r="J38" s="2">
        <v>0</v>
      </c>
      <c r="K38" s="343">
        <v>0</v>
      </c>
      <c r="L38" s="353">
        <f t="shared" si="5"/>
        <v>0</v>
      </c>
      <c r="M38" s="345">
        <f t="shared" si="2"/>
        <v>6000000</v>
      </c>
      <c r="N38" s="346">
        <v>0</v>
      </c>
    </row>
    <row r="39" spans="1:14" ht="15">
      <c r="A39" s="334">
        <v>202120102</v>
      </c>
      <c r="B39" s="354" t="s">
        <v>35</v>
      </c>
      <c r="C39" s="336">
        <f>'PAC INICIAL 2020'!C39</f>
        <v>14000000</v>
      </c>
      <c r="D39" s="342"/>
      <c r="E39" s="338"/>
      <c r="F39" s="339"/>
      <c r="G39" s="347"/>
      <c r="H39" s="341">
        <f>C39-D39+E39+F39-G39</f>
        <v>14000000</v>
      </c>
      <c r="I39" s="342">
        <f>ENERO!K39</f>
        <v>1799800</v>
      </c>
      <c r="J39" s="342">
        <v>0</v>
      </c>
      <c r="K39" s="343">
        <f>L39/H39</f>
        <v>0.12855714285714287</v>
      </c>
      <c r="L39" s="353">
        <f t="shared" si="5"/>
        <v>1799800</v>
      </c>
      <c r="M39" s="345">
        <f t="shared" si="2"/>
        <v>12200200</v>
      </c>
      <c r="N39" s="355">
        <f>M39/H39</f>
        <v>0.87144285714285719</v>
      </c>
    </row>
    <row r="40" spans="1:14" ht="15">
      <c r="A40" s="334">
        <v>202120104</v>
      </c>
      <c r="B40" s="351" t="s">
        <v>37</v>
      </c>
      <c r="C40" s="336">
        <f>'PAC INICIAL 2020'!C40</f>
        <v>1300000</v>
      </c>
      <c r="D40" s="342"/>
      <c r="E40" s="338"/>
      <c r="F40" s="339"/>
      <c r="G40" s="356"/>
      <c r="H40" s="341">
        <f>C40-D40+E40+F40-G40</f>
        <v>1300000</v>
      </c>
      <c r="I40" s="342">
        <f>ENERO!K40</f>
        <v>0</v>
      </c>
      <c r="J40" s="342">
        <v>0</v>
      </c>
      <c r="K40" s="343">
        <f>L40/H40</f>
        <v>0</v>
      </c>
      <c r="L40" s="353">
        <f t="shared" si="5"/>
        <v>0</v>
      </c>
      <c r="M40" s="345">
        <f t="shared" si="2"/>
        <v>1300000</v>
      </c>
      <c r="N40" s="355">
        <f>M40/H40</f>
        <v>1</v>
      </c>
    </row>
    <row r="41" spans="1:14" ht="15">
      <c r="A41" s="334">
        <v>202120105</v>
      </c>
      <c r="B41" s="351" t="s">
        <v>39</v>
      </c>
      <c r="C41" s="336">
        <f>'PAC INICIAL 2020'!C41</f>
        <v>0</v>
      </c>
      <c r="D41" s="342"/>
      <c r="E41" s="338"/>
      <c r="F41" s="339"/>
      <c r="G41" s="347"/>
      <c r="H41" s="341">
        <f>C41-D41+E41+F41-G41</f>
        <v>0</v>
      </c>
      <c r="I41" s="342">
        <f>ENERO!K41</f>
        <v>0</v>
      </c>
      <c r="J41" s="342">
        <v>0</v>
      </c>
      <c r="K41" s="343">
        <v>0</v>
      </c>
      <c r="L41" s="353">
        <f t="shared" si="5"/>
        <v>0</v>
      </c>
      <c r="M41" s="345">
        <f t="shared" si="2"/>
        <v>0</v>
      </c>
      <c r="N41" s="355">
        <v>0</v>
      </c>
    </row>
    <row r="42" spans="1:14" s="349" customFormat="1" ht="27.75" customHeight="1">
      <c r="A42" s="327">
        <v>2021202</v>
      </c>
      <c r="B42" s="352" t="s">
        <v>41</v>
      </c>
      <c r="C42" s="329">
        <f t="shared" ref="C42:J42" si="16">SUM(C43:C58)</f>
        <v>127719000</v>
      </c>
      <c r="D42" s="329">
        <f t="shared" si="16"/>
        <v>0</v>
      </c>
      <c r="E42" s="329">
        <f t="shared" si="16"/>
        <v>0</v>
      </c>
      <c r="F42" s="329">
        <f t="shared" si="16"/>
        <v>13500000</v>
      </c>
      <c r="G42" s="329">
        <f t="shared" si="16"/>
        <v>0</v>
      </c>
      <c r="H42" s="329">
        <f t="shared" si="16"/>
        <v>141219000</v>
      </c>
      <c r="I42" s="329">
        <f t="shared" si="16"/>
        <v>3000823</v>
      </c>
      <c r="J42" s="329">
        <f t="shared" si="16"/>
        <v>9465389</v>
      </c>
      <c r="K42" s="330">
        <f t="shared" ref="K42:K49" si="17">L42/H42</f>
        <v>8.8275741932742763E-2</v>
      </c>
      <c r="L42" s="331">
        <f>I42+J42</f>
        <v>12466212</v>
      </c>
      <c r="M42" s="348">
        <f>SUM(M43:M58)</f>
        <v>128752788</v>
      </c>
      <c r="N42" s="332">
        <f t="shared" ref="N42:N47" si="18">M42/H42</f>
        <v>0.91172425806725721</v>
      </c>
    </row>
    <row r="43" spans="1:14" ht="15">
      <c r="A43" s="334">
        <v>202120201</v>
      </c>
      <c r="B43" s="351" t="s">
        <v>43</v>
      </c>
      <c r="C43" s="336">
        <f>'PAC INICIAL 2020'!C43</f>
        <v>9000000</v>
      </c>
      <c r="D43" s="342"/>
      <c r="E43" s="338"/>
      <c r="F43" s="339">
        <f>'LIBRO DE PRESUPUESTO'!G227</f>
        <v>10000000</v>
      </c>
      <c r="G43" s="347"/>
      <c r="H43" s="341">
        <f t="shared" ref="H43:H57" si="19">C43-D43+E43+F43-G43</f>
        <v>19000000</v>
      </c>
      <c r="I43" s="342">
        <f>ENERO!K43</f>
        <v>1400000</v>
      </c>
      <c r="J43" s="342"/>
      <c r="K43" s="343">
        <f t="shared" si="17"/>
        <v>7.3684210526315783E-2</v>
      </c>
      <c r="L43" s="344">
        <f t="shared" si="5"/>
        <v>1400000</v>
      </c>
      <c r="M43" s="345">
        <f t="shared" si="2"/>
        <v>17600000</v>
      </c>
      <c r="N43" s="355">
        <f t="shared" si="18"/>
        <v>0.9263157894736842</v>
      </c>
    </row>
    <row r="44" spans="1:14" ht="15">
      <c r="A44" s="334">
        <v>202120202</v>
      </c>
      <c r="B44" s="351" t="s">
        <v>44</v>
      </c>
      <c r="C44" s="336">
        <f>'PAC INICIAL 2020'!C44</f>
        <v>52500000</v>
      </c>
      <c r="D44" s="342"/>
      <c r="E44" s="338"/>
      <c r="F44" s="339"/>
      <c r="G44" s="347"/>
      <c r="H44" s="341">
        <f t="shared" si="19"/>
        <v>52500000</v>
      </c>
      <c r="I44" s="342">
        <f>ENERO!K44</f>
        <v>0</v>
      </c>
      <c r="J44" s="342">
        <f>SUM('LIBRO DE PRESUPUESTO'!J249:J264)</f>
        <v>8926450</v>
      </c>
      <c r="K44" s="343">
        <f t="shared" si="17"/>
        <v>0.17002761904761904</v>
      </c>
      <c r="L44" s="344">
        <f t="shared" si="5"/>
        <v>8926450</v>
      </c>
      <c r="M44" s="345">
        <f t="shared" si="2"/>
        <v>43573550</v>
      </c>
      <c r="N44" s="355">
        <f t="shared" si="18"/>
        <v>0.82997238095238091</v>
      </c>
    </row>
    <row r="45" spans="1:14" ht="15">
      <c r="A45" s="334">
        <v>202120203</v>
      </c>
      <c r="B45" s="351" t="s">
        <v>46</v>
      </c>
      <c r="C45" s="336">
        <f>'PAC INICIAL 2020'!C45</f>
        <v>2000000</v>
      </c>
      <c r="D45" s="342"/>
      <c r="E45" s="338"/>
      <c r="F45" s="339"/>
      <c r="G45" s="347"/>
      <c r="H45" s="341">
        <f t="shared" si="19"/>
        <v>2000000</v>
      </c>
      <c r="I45" s="342">
        <f>ENERO!K45</f>
        <v>300000</v>
      </c>
      <c r="J45" s="4"/>
      <c r="K45" s="343">
        <f t="shared" si="17"/>
        <v>0.15</v>
      </c>
      <c r="L45" s="344">
        <f t="shared" si="5"/>
        <v>300000</v>
      </c>
      <c r="M45" s="345">
        <f t="shared" si="2"/>
        <v>1700000</v>
      </c>
      <c r="N45" s="355">
        <f t="shared" si="18"/>
        <v>0.85</v>
      </c>
    </row>
    <row r="46" spans="1:14" ht="15">
      <c r="A46" s="334">
        <v>202120204</v>
      </c>
      <c r="B46" s="351" t="s">
        <v>48</v>
      </c>
      <c r="C46" s="336">
        <f>'PAC INICIAL 2020'!C46</f>
        <v>11619000</v>
      </c>
      <c r="D46" s="342"/>
      <c r="E46" s="338"/>
      <c r="F46" s="339"/>
      <c r="G46" s="347"/>
      <c r="H46" s="341">
        <f t="shared" si="19"/>
        <v>11619000</v>
      </c>
      <c r="I46" s="342">
        <f>ENERO!K46</f>
        <v>877000</v>
      </c>
      <c r="J46" s="4">
        <f>'LIBRO DE PRESUPUESTO'!J403</f>
        <v>319000</v>
      </c>
      <c r="K46" s="343">
        <f t="shared" si="17"/>
        <v>0.10293484809363973</v>
      </c>
      <c r="L46" s="344">
        <f t="shared" si="5"/>
        <v>1196000</v>
      </c>
      <c r="M46" s="345">
        <f t="shared" si="2"/>
        <v>10423000</v>
      </c>
      <c r="N46" s="346">
        <f t="shared" si="18"/>
        <v>0.89706515190636027</v>
      </c>
    </row>
    <row r="47" spans="1:14" ht="15">
      <c r="A47" s="334">
        <v>202120205</v>
      </c>
      <c r="B47" s="351" t="s">
        <v>50</v>
      </c>
      <c r="C47" s="336">
        <f>'PAC INICIAL 2020'!C47</f>
        <v>8000000</v>
      </c>
      <c r="D47" s="342"/>
      <c r="E47" s="338"/>
      <c r="F47" s="339"/>
      <c r="G47" s="347"/>
      <c r="H47" s="341">
        <f t="shared" si="19"/>
        <v>8000000</v>
      </c>
      <c r="I47" s="342">
        <f>ENERO!K47</f>
        <v>321383</v>
      </c>
      <c r="J47" s="4">
        <f>'LIBRO DE PRESUPUESTO'!J419</f>
        <v>132369</v>
      </c>
      <c r="K47" s="343">
        <f t="shared" si="17"/>
        <v>5.6718999999999999E-2</v>
      </c>
      <c r="L47" s="344">
        <f t="shared" si="5"/>
        <v>453752</v>
      </c>
      <c r="M47" s="345">
        <f t="shared" si="2"/>
        <v>7546248</v>
      </c>
      <c r="N47" s="346">
        <f t="shared" si="18"/>
        <v>0.94328100000000004</v>
      </c>
    </row>
    <row r="48" spans="1:14" ht="15">
      <c r="A48" s="334">
        <v>202120206</v>
      </c>
      <c r="B48" s="351" t="s">
        <v>52</v>
      </c>
      <c r="C48" s="336">
        <f>'PAC INICIAL 2020'!C48</f>
        <v>2500000</v>
      </c>
      <c r="D48" s="342"/>
      <c r="E48" s="338"/>
      <c r="F48" s="339"/>
      <c r="G48" s="347"/>
      <c r="H48" s="341">
        <f t="shared" si="19"/>
        <v>2500000</v>
      </c>
      <c r="I48" s="342">
        <f>ENERO!K48</f>
        <v>102440</v>
      </c>
      <c r="J48" s="2">
        <f>'LIBRO DE PRESUPUESTO'!J456+'LIBRO DE PRESUPUESTO'!J457</f>
        <v>87570</v>
      </c>
      <c r="K48" s="343">
        <f t="shared" si="17"/>
        <v>7.6004000000000002E-2</v>
      </c>
      <c r="L48" s="344">
        <f t="shared" si="5"/>
        <v>190010</v>
      </c>
      <c r="M48" s="345">
        <f t="shared" si="2"/>
        <v>2309990</v>
      </c>
      <c r="N48" s="346">
        <v>0</v>
      </c>
    </row>
    <row r="49" spans="1:16" ht="15">
      <c r="A49" s="334">
        <v>202120207</v>
      </c>
      <c r="B49" s="354" t="s">
        <v>54</v>
      </c>
      <c r="C49" s="336">
        <f>'PAC INICIAL 2020'!C49</f>
        <v>1500000</v>
      </c>
      <c r="D49" s="342"/>
      <c r="E49" s="338"/>
      <c r="F49" s="339"/>
      <c r="G49" s="347"/>
      <c r="H49" s="341">
        <f t="shared" si="19"/>
        <v>1500000</v>
      </c>
      <c r="I49" s="342">
        <f>ENERO!K49</f>
        <v>0</v>
      </c>
      <c r="J49" s="342">
        <v>0</v>
      </c>
      <c r="K49" s="343">
        <f t="shared" si="17"/>
        <v>0</v>
      </c>
      <c r="L49" s="353">
        <f t="shared" si="5"/>
        <v>0</v>
      </c>
      <c r="M49" s="345">
        <f t="shared" si="2"/>
        <v>1500000</v>
      </c>
      <c r="N49" s="346">
        <f>M49/H49</f>
        <v>1</v>
      </c>
    </row>
    <row r="50" spans="1:16" ht="15">
      <c r="A50" s="334">
        <v>202120208</v>
      </c>
      <c r="B50" s="351" t="s">
        <v>56</v>
      </c>
      <c r="C50" s="336">
        <f>'PAC INICIAL 2020'!C50</f>
        <v>0</v>
      </c>
      <c r="D50" s="342"/>
      <c r="E50" s="338"/>
      <c r="F50" s="357"/>
      <c r="G50" s="347"/>
      <c r="H50" s="341">
        <f t="shared" si="19"/>
        <v>0</v>
      </c>
      <c r="I50" s="342">
        <f>ENERO!K50</f>
        <v>0</v>
      </c>
      <c r="J50" s="342">
        <v>0</v>
      </c>
      <c r="K50" s="343">
        <v>0</v>
      </c>
      <c r="L50" s="353">
        <f t="shared" si="5"/>
        <v>0</v>
      </c>
      <c r="M50" s="345">
        <f t="shared" si="2"/>
        <v>0</v>
      </c>
      <c r="N50" s="346">
        <v>0</v>
      </c>
    </row>
    <row r="51" spans="1:16" ht="15">
      <c r="A51" s="334">
        <v>202120209</v>
      </c>
      <c r="B51" s="351" t="s">
        <v>58</v>
      </c>
      <c r="C51" s="336">
        <f>'PAC INICIAL 2020'!C51</f>
        <v>9400000</v>
      </c>
      <c r="D51" s="342"/>
      <c r="E51" s="338"/>
      <c r="F51" s="339"/>
      <c r="G51" s="347"/>
      <c r="H51" s="341">
        <f t="shared" si="19"/>
        <v>9400000</v>
      </c>
      <c r="I51" s="342">
        <f>ENERO!K51</f>
        <v>0</v>
      </c>
      <c r="J51" s="6">
        <v>0</v>
      </c>
      <c r="K51" s="343">
        <f>L51/H51</f>
        <v>0</v>
      </c>
      <c r="L51" s="353">
        <f t="shared" si="5"/>
        <v>0</v>
      </c>
      <c r="M51" s="345">
        <f t="shared" si="2"/>
        <v>9400000</v>
      </c>
      <c r="N51" s="346">
        <f>M51/H51</f>
        <v>1</v>
      </c>
    </row>
    <row r="52" spans="1:16" ht="15">
      <c r="A52" s="334">
        <v>202120210</v>
      </c>
      <c r="B52" s="354" t="s">
        <v>60</v>
      </c>
      <c r="C52" s="336">
        <f>'PAC INICIAL 2020'!C52</f>
        <v>10000000</v>
      </c>
      <c r="D52" s="342"/>
      <c r="E52" s="338"/>
      <c r="F52" s="339"/>
      <c r="G52" s="347"/>
      <c r="H52" s="341">
        <f t="shared" si="19"/>
        <v>10000000</v>
      </c>
      <c r="I52" s="342">
        <f>ENERO!K52</f>
        <v>0</v>
      </c>
      <c r="J52" s="6">
        <v>0</v>
      </c>
      <c r="K52" s="343">
        <f>L52/H52</f>
        <v>0</v>
      </c>
      <c r="L52" s="353">
        <f t="shared" si="5"/>
        <v>0</v>
      </c>
      <c r="M52" s="345">
        <f t="shared" si="2"/>
        <v>10000000</v>
      </c>
      <c r="N52" s="346">
        <f>M52/H52</f>
        <v>1</v>
      </c>
    </row>
    <row r="53" spans="1:16" ht="15">
      <c r="A53" s="334">
        <v>202120211</v>
      </c>
      <c r="B53" s="351" t="s">
        <v>62</v>
      </c>
      <c r="C53" s="336">
        <f>'PAC INICIAL 2020'!C53</f>
        <v>4000000</v>
      </c>
      <c r="D53" s="342"/>
      <c r="E53" s="338"/>
      <c r="F53" s="339"/>
      <c r="G53" s="347"/>
      <c r="H53" s="341">
        <f t="shared" si="19"/>
        <v>4000000</v>
      </c>
      <c r="I53" s="342">
        <f>ENERO!K53</f>
        <v>0</v>
      </c>
      <c r="J53" s="6">
        <v>0</v>
      </c>
      <c r="K53" s="343">
        <v>0</v>
      </c>
      <c r="L53" s="353">
        <f t="shared" si="5"/>
        <v>0</v>
      </c>
      <c r="M53" s="345">
        <f t="shared" si="2"/>
        <v>4000000</v>
      </c>
      <c r="N53" s="346">
        <v>0</v>
      </c>
    </row>
    <row r="54" spans="1:16" ht="15">
      <c r="A54" s="334">
        <v>202120212</v>
      </c>
      <c r="B54" s="351" t="s">
        <v>64</v>
      </c>
      <c r="C54" s="336">
        <f>'PAC INICIAL 2020'!C54</f>
        <v>15000000</v>
      </c>
      <c r="D54" s="342"/>
      <c r="E54" s="338"/>
      <c r="F54" s="339"/>
      <c r="G54" s="347"/>
      <c r="H54" s="341">
        <f t="shared" si="19"/>
        <v>15000000</v>
      </c>
      <c r="I54" s="342">
        <f>ENERO!K54</f>
        <v>0</v>
      </c>
      <c r="J54" s="342">
        <v>0</v>
      </c>
      <c r="K54" s="343">
        <v>0</v>
      </c>
      <c r="L54" s="353">
        <f t="shared" si="5"/>
        <v>0</v>
      </c>
      <c r="M54" s="345">
        <f t="shared" si="2"/>
        <v>15000000</v>
      </c>
      <c r="N54" s="346">
        <v>0</v>
      </c>
    </row>
    <row r="55" spans="1:16" ht="15">
      <c r="A55" s="334">
        <v>202120213</v>
      </c>
      <c r="B55" s="351" t="s">
        <v>65</v>
      </c>
      <c r="C55" s="336">
        <f>'PAC INICIAL 2020'!C55</f>
        <v>0</v>
      </c>
      <c r="D55" s="342"/>
      <c r="E55" s="338"/>
      <c r="F55" s="339"/>
      <c r="G55" s="347"/>
      <c r="H55" s="341">
        <f t="shared" si="19"/>
        <v>0</v>
      </c>
      <c r="I55" s="342">
        <f>ENERO!K55</f>
        <v>0</v>
      </c>
      <c r="J55" s="342">
        <v>0</v>
      </c>
      <c r="K55" s="343">
        <v>0</v>
      </c>
      <c r="L55" s="353">
        <f t="shared" si="5"/>
        <v>0</v>
      </c>
      <c r="M55" s="345">
        <f t="shared" si="2"/>
        <v>0</v>
      </c>
      <c r="N55" s="346">
        <v>0</v>
      </c>
    </row>
    <row r="56" spans="1:16" ht="15">
      <c r="A56" s="334">
        <v>202120214</v>
      </c>
      <c r="B56" s="351" t="s">
        <v>67</v>
      </c>
      <c r="C56" s="336">
        <f>'PAC INICIAL 2020'!C56</f>
        <v>0</v>
      </c>
      <c r="D56" s="342"/>
      <c r="E56" s="338"/>
      <c r="F56" s="339">
        <f>'LIBRO DE PRESUPUESTO'!G536</f>
        <v>3500000</v>
      </c>
      <c r="G56" s="347"/>
      <c r="H56" s="341">
        <f t="shared" si="19"/>
        <v>3500000</v>
      </c>
      <c r="I56" s="342">
        <f>ENERO!K56</f>
        <v>0</v>
      </c>
      <c r="J56" s="342">
        <v>0</v>
      </c>
      <c r="K56" s="343">
        <v>0</v>
      </c>
      <c r="L56" s="353">
        <f t="shared" si="5"/>
        <v>0</v>
      </c>
      <c r="M56" s="345">
        <f t="shared" si="2"/>
        <v>3500000</v>
      </c>
      <c r="N56" s="346">
        <v>0</v>
      </c>
    </row>
    <row r="57" spans="1:16" ht="15">
      <c r="A57" s="358">
        <v>202120215</v>
      </c>
      <c r="B57" s="351" t="s">
        <v>97</v>
      </c>
      <c r="C57" s="336">
        <f>'PAC INICIAL 2020'!C57</f>
        <v>1200000</v>
      </c>
      <c r="D57" s="342"/>
      <c r="E57" s="338"/>
      <c r="F57" s="339"/>
      <c r="G57" s="347"/>
      <c r="H57" s="341">
        <f t="shared" si="19"/>
        <v>1200000</v>
      </c>
      <c r="I57" s="342">
        <f>ENERO!K57</f>
        <v>0</v>
      </c>
      <c r="J57" s="342">
        <v>0</v>
      </c>
      <c r="K57" s="343">
        <f>L57/H57</f>
        <v>0</v>
      </c>
      <c r="L57" s="344">
        <f t="shared" si="5"/>
        <v>0</v>
      </c>
      <c r="M57" s="345">
        <f t="shared" si="2"/>
        <v>1200000</v>
      </c>
      <c r="N57" s="346">
        <f>M57/H57</f>
        <v>1</v>
      </c>
    </row>
    <row r="58" spans="1:16" ht="15">
      <c r="A58" s="358">
        <v>202120216</v>
      </c>
      <c r="B58" s="351" t="s">
        <v>148</v>
      </c>
      <c r="C58" s="336">
        <f>'PAC INICIAL 2020'!C58</f>
        <v>1000000</v>
      </c>
      <c r="D58" s="342"/>
      <c r="E58" s="338"/>
      <c r="F58" s="339"/>
      <c r="G58" s="347"/>
      <c r="H58" s="341">
        <f>C58-D58+E58+F58-G58</f>
        <v>1000000</v>
      </c>
      <c r="I58" s="342">
        <f>ENERO!K58</f>
        <v>0</v>
      </c>
      <c r="J58" s="342">
        <v>0</v>
      </c>
      <c r="K58" s="343">
        <f>L58/H58</f>
        <v>0</v>
      </c>
      <c r="L58" s="344">
        <f t="shared" si="5"/>
        <v>0</v>
      </c>
      <c r="M58" s="345">
        <f>H58-L58</f>
        <v>1000000</v>
      </c>
      <c r="N58" s="346">
        <f>M58/H58</f>
        <v>1</v>
      </c>
    </row>
    <row r="59" spans="1:16" ht="27" customHeight="1">
      <c r="A59" s="327">
        <v>2021301</v>
      </c>
      <c r="B59" s="352" t="s">
        <v>95</v>
      </c>
      <c r="C59" s="360">
        <f>C60</f>
        <v>75000000</v>
      </c>
      <c r="D59" s="367">
        <f>D60</f>
        <v>0</v>
      </c>
      <c r="E59" s="367">
        <f>E60</f>
        <v>0</v>
      </c>
      <c r="F59" s="367">
        <f>F60</f>
        <v>0</v>
      </c>
      <c r="G59" s="367">
        <f>G60</f>
        <v>0</v>
      </c>
      <c r="H59" s="329">
        <f>SUM(H60:H60)</f>
        <v>75000000</v>
      </c>
      <c r="I59" s="329">
        <f>SUM(I60:I60)</f>
        <v>0</v>
      </c>
      <c r="J59" s="329">
        <f>SUM(J60:J60)</f>
        <v>0</v>
      </c>
      <c r="K59" s="330">
        <f>K60</f>
        <v>1</v>
      </c>
      <c r="L59" s="331">
        <f>L60</f>
        <v>0</v>
      </c>
      <c r="M59" s="348">
        <f>SUM(M60:M60)</f>
        <v>75000000</v>
      </c>
      <c r="N59" s="332">
        <v>0</v>
      </c>
      <c r="P59" s="361"/>
    </row>
    <row r="60" spans="1:16" ht="15">
      <c r="A60" s="368">
        <v>202130101</v>
      </c>
      <c r="B60" s="369" t="s">
        <v>96</v>
      </c>
      <c r="C60" s="336">
        <f>'PAC INICIAL 2020'!C76</f>
        <v>75000000</v>
      </c>
      <c r="D60" s="370">
        <v>0</v>
      </c>
      <c r="E60" s="371"/>
      <c r="F60" s="372"/>
      <c r="G60" s="373"/>
      <c r="H60" s="341">
        <f>C60-D60+E60+F60-G60</f>
        <v>75000000</v>
      </c>
      <c r="I60" s="342">
        <f>ENERO!K60</f>
        <v>0</v>
      </c>
      <c r="J60" s="370"/>
      <c r="K60" s="343">
        <v>1</v>
      </c>
      <c r="L60" s="344">
        <f>J60+I60</f>
        <v>0</v>
      </c>
      <c r="M60" s="345">
        <f t="shared" si="2"/>
        <v>75000000</v>
      </c>
      <c r="N60" s="346">
        <v>0</v>
      </c>
      <c r="P60" s="361"/>
    </row>
    <row r="61" spans="1:16" s="380" customFormat="1" ht="31.5" customHeight="1" thickBot="1">
      <c r="A61" s="374"/>
      <c r="B61" s="375" t="s">
        <v>171</v>
      </c>
      <c r="C61" s="376">
        <f>C26+C21+C42+C17+C37+C8+C59</f>
        <v>1155126065</v>
      </c>
      <c r="D61" s="377">
        <f>D9+D26</f>
        <v>0</v>
      </c>
      <c r="E61" s="377">
        <f>E8+E17+E37+E42+E21+E26+E59</f>
        <v>0</v>
      </c>
      <c r="F61" s="377">
        <f>F8+F17+F37+F42++F21+F26+F59</f>
        <v>57500000</v>
      </c>
      <c r="G61" s="377">
        <f>G8+G17+G37+G42+G21+G26+G59</f>
        <v>57500000</v>
      </c>
      <c r="H61" s="377">
        <f>H8+H17+H37+H42+H21+H26+H59</f>
        <v>1155126065</v>
      </c>
      <c r="I61" s="377">
        <f>I8+I17+I37+I42+I21+I26+I59</f>
        <v>63597228</v>
      </c>
      <c r="J61" s="377">
        <f>J8+J17+J37+J42+J21+J26+J59</f>
        <v>85877003</v>
      </c>
      <c r="K61" s="378">
        <f>L61/H61</f>
        <v>0.12940079488207204</v>
      </c>
      <c r="L61" s="377">
        <f>L8+L17+L37+L42+L21+L26+L59</f>
        <v>149474231</v>
      </c>
      <c r="M61" s="377">
        <f>M8+M17+M37+M42+M21+M26+M59</f>
        <v>1005651834</v>
      </c>
      <c r="N61" s="379">
        <f>M61/H61</f>
        <v>0.87059920511792799</v>
      </c>
    </row>
    <row r="62" spans="1:16" ht="35.25" customHeight="1" thickBot="1">
      <c r="A62" s="381" t="s">
        <v>172</v>
      </c>
      <c r="B62" s="691" t="s">
        <v>173</v>
      </c>
      <c r="C62" s="692"/>
      <c r="D62" s="692"/>
      <c r="E62" s="692"/>
      <c r="F62" s="692"/>
      <c r="G62" s="692"/>
      <c r="H62" s="692"/>
      <c r="I62" s="692"/>
      <c r="J62" s="692"/>
      <c r="K62" s="692"/>
      <c r="L62" s="692"/>
      <c r="M62" s="692"/>
      <c r="N62" s="693"/>
      <c r="P62" s="382"/>
    </row>
    <row r="64" spans="1:16">
      <c r="D64" s="382"/>
      <c r="E64" s="382"/>
      <c r="F64" s="382"/>
      <c r="G64" s="382"/>
      <c r="M64" s="382"/>
    </row>
    <row r="65" spans="4:13">
      <c r="G65" s="382"/>
      <c r="I65" s="382"/>
      <c r="J65" s="385"/>
      <c r="M65" s="382"/>
    </row>
    <row r="66" spans="4:13">
      <c r="D66" s="382"/>
      <c r="J66" s="382"/>
      <c r="K66" s="382"/>
      <c r="M66" s="382"/>
    </row>
    <row r="67" spans="4:13">
      <c r="H67" s="382"/>
      <c r="J67" s="382"/>
      <c r="M67" s="382"/>
    </row>
    <row r="68" spans="4:13">
      <c r="J68" s="382"/>
    </row>
  </sheetData>
  <mergeCells count="5">
    <mergeCell ref="A1:N1"/>
    <mergeCell ref="A2:N2"/>
    <mergeCell ref="A3:N3"/>
    <mergeCell ref="K5:K6"/>
    <mergeCell ref="B62:N62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showGridLines="0" zoomScale="70" zoomScaleNormal="70" zoomScaleSheetLayoutView="80" workbookViewId="0">
      <pane xSplit="2" ySplit="7" topLeftCell="C23" activePane="bottomRight" state="frozen"/>
      <selection activeCell="J228" sqref="J228"/>
      <selection pane="topRight" activeCell="J228" sqref="J228"/>
      <selection pane="bottomLeft" activeCell="J228" sqref="J228"/>
      <selection pane="bottomRight" activeCell="J228" sqref="J228"/>
    </sheetView>
  </sheetViews>
  <sheetFormatPr baseColWidth="10" defaultRowHeight="14.25"/>
  <cols>
    <col min="1" max="1" width="16" style="383" customWidth="1"/>
    <col min="2" max="2" width="49.625" style="1" customWidth="1"/>
    <col min="3" max="3" width="19.375" style="1" customWidth="1"/>
    <col min="4" max="4" width="19.375" style="1" hidden="1" customWidth="1"/>
    <col min="5" max="5" width="14.625" style="1" hidden="1" customWidth="1"/>
    <col min="6" max="6" width="14.625" style="1" customWidth="1"/>
    <col min="7" max="8" width="15.125" style="1" bestFit="1" customWidth="1"/>
    <col min="9" max="9" width="17.875" style="1" bestFit="1" customWidth="1"/>
    <col min="10" max="10" width="20.625" style="1" bestFit="1" customWidth="1"/>
    <col min="11" max="11" width="15" style="1" bestFit="1" customWidth="1"/>
    <col min="12" max="12" width="8.75" style="1" bestFit="1" customWidth="1"/>
    <col min="13" max="13" width="17.375" style="384" customWidth="1"/>
    <col min="14" max="14" width="17.375" style="384" hidden="1" customWidth="1"/>
    <col min="15" max="15" width="16.875" style="1" bestFit="1" customWidth="1"/>
    <col min="16" max="16" width="8.5" style="1" customWidth="1"/>
    <col min="17" max="17" width="17.875" style="1" hidden="1" customWidth="1"/>
    <col min="18" max="18" width="13.875" style="1" hidden="1" customWidth="1"/>
    <col min="19" max="19" width="14" style="1" hidden="1" customWidth="1"/>
    <col min="20" max="20" width="15.875" style="1" hidden="1" customWidth="1"/>
    <col min="21" max="21" width="13.5" style="1" hidden="1" customWidth="1"/>
    <col min="22" max="259" width="11" style="1"/>
    <col min="260" max="260" width="16" style="1" customWidth="1"/>
    <col min="261" max="261" width="49.625" style="1" customWidth="1"/>
    <col min="262" max="262" width="15.25" style="1" customWidth="1"/>
    <col min="263" max="269" width="14.625" style="1" customWidth="1"/>
    <col min="270" max="270" width="0" style="1" hidden="1" customWidth="1"/>
    <col min="271" max="271" width="7.875" style="1" customWidth="1"/>
    <col min="272" max="272" width="17.375" style="1" customWidth="1"/>
    <col min="273" max="273" width="14.625" style="1" customWidth="1"/>
    <col min="274" max="274" width="8.5" style="1" customWidth="1"/>
    <col min="275" max="275" width="11" style="1"/>
    <col min="276" max="276" width="10.125" style="1" bestFit="1" customWidth="1"/>
    <col min="277" max="515" width="11" style="1"/>
    <col min="516" max="516" width="16" style="1" customWidth="1"/>
    <col min="517" max="517" width="49.625" style="1" customWidth="1"/>
    <col min="518" max="518" width="15.25" style="1" customWidth="1"/>
    <col min="519" max="525" width="14.625" style="1" customWidth="1"/>
    <col min="526" max="526" width="0" style="1" hidden="1" customWidth="1"/>
    <col min="527" max="527" width="7.875" style="1" customWidth="1"/>
    <col min="528" max="528" width="17.375" style="1" customWidth="1"/>
    <col min="529" max="529" width="14.625" style="1" customWidth="1"/>
    <col min="530" max="530" width="8.5" style="1" customWidth="1"/>
    <col min="531" max="531" width="11" style="1"/>
    <col min="532" max="532" width="10.125" style="1" bestFit="1" customWidth="1"/>
    <col min="533" max="771" width="11" style="1"/>
    <col min="772" max="772" width="16" style="1" customWidth="1"/>
    <col min="773" max="773" width="49.625" style="1" customWidth="1"/>
    <col min="774" max="774" width="15.25" style="1" customWidth="1"/>
    <col min="775" max="781" width="14.625" style="1" customWidth="1"/>
    <col min="782" max="782" width="0" style="1" hidden="1" customWidth="1"/>
    <col min="783" max="783" width="7.875" style="1" customWidth="1"/>
    <col min="784" max="784" width="17.375" style="1" customWidth="1"/>
    <col min="785" max="785" width="14.625" style="1" customWidth="1"/>
    <col min="786" max="786" width="8.5" style="1" customWidth="1"/>
    <col min="787" max="787" width="11" style="1"/>
    <col min="788" max="788" width="10.125" style="1" bestFit="1" customWidth="1"/>
    <col min="789" max="1027" width="11" style="1"/>
    <col min="1028" max="1028" width="16" style="1" customWidth="1"/>
    <col min="1029" max="1029" width="49.625" style="1" customWidth="1"/>
    <col min="1030" max="1030" width="15.25" style="1" customWidth="1"/>
    <col min="1031" max="1037" width="14.625" style="1" customWidth="1"/>
    <col min="1038" max="1038" width="0" style="1" hidden="1" customWidth="1"/>
    <col min="1039" max="1039" width="7.875" style="1" customWidth="1"/>
    <col min="1040" max="1040" width="17.375" style="1" customWidth="1"/>
    <col min="1041" max="1041" width="14.625" style="1" customWidth="1"/>
    <col min="1042" max="1042" width="8.5" style="1" customWidth="1"/>
    <col min="1043" max="1043" width="11" style="1"/>
    <col min="1044" max="1044" width="10.125" style="1" bestFit="1" customWidth="1"/>
    <col min="1045" max="1283" width="11" style="1"/>
    <col min="1284" max="1284" width="16" style="1" customWidth="1"/>
    <col min="1285" max="1285" width="49.625" style="1" customWidth="1"/>
    <col min="1286" max="1286" width="15.25" style="1" customWidth="1"/>
    <col min="1287" max="1293" width="14.625" style="1" customWidth="1"/>
    <col min="1294" max="1294" width="0" style="1" hidden="1" customWidth="1"/>
    <col min="1295" max="1295" width="7.875" style="1" customWidth="1"/>
    <col min="1296" max="1296" width="17.375" style="1" customWidth="1"/>
    <col min="1297" max="1297" width="14.625" style="1" customWidth="1"/>
    <col min="1298" max="1298" width="8.5" style="1" customWidth="1"/>
    <col min="1299" max="1299" width="11" style="1"/>
    <col min="1300" max="1300" width="10.125" style="1" bestFit="1" customWidth="1"/>
    <col min="1301" max="1539" width="11" style="1"/>
    <col min="1540" max="1540" width="16" style="1" customWidth="1"/>
    <col min="1541" max="1541" width="49.625" style="1" customWidth="1"/>
    <col min="1542" max="1542" width="15.25" style="1" customWidth="1"/>
    <col min="1543" max="1549" width="14.625" style="1" customWidth="1"/>
    <col min="1550" max="1550" width="0" style="1" hidden="1" customWidth="1"/>
    <col min="1551" max="1551" width="7.875" style="1" customWidth="1"/>
    <col min="1552" max="1552" width="17.375" style="1" customWidth="1"/>
    <col min="1553" max="1553" width="14.625" style="1" customWidth="1"/>
    <col min="1554" max="1554" width="8.5" style="1" customWidth="1"/>
    <col min="1555" max="1555" width="11" style="1"/>
    <col min="1556" max="1556" width="10.125" style="1" bestFit="1" customWidth="1"/>
    <col min="1557" max="1795" width="11" style="1"/>
    <col min="1796" max="1796" width="16" style="1" customWidth="1"/>
    <col min="1797" max="1797" width="49.625" style="1" customWidth="1"/>
    <col min="1798" max="1798" width="15.25" style="1" customWidth="1"/>
    <col min="1799" max="1805" width="14.625" style="1" customWidth="1"/>
    <col min="1806" max="1806" width="0" style="1" hidden="1" customWidth="1"/>
    <col min="1807" max="1807" width="7.875" style="1" customWidth="1"/>
    <col min="1808" max="1808" width="17.375" style="1" customWidth="1"/>
    <col min="1809" max="1809" width="14.625" style="1" customWidth="1"/>
    <col min="1810" max="1810" width="8.5" style="1" customWidth="1"/>
    <col min="1811" max="1811" width="11" style="1"/>
    <col min="1812" max="1812" width="10.125" style="1" bestFit="1" customWidth="1"/>
    <col min="1813" max="2051" width="11" style="1"/>
    <col min="2052" max="2052" width="16" style="1" customWidth="1"/>
    <col min="2053" max="2053" width="49.625" style="1" customWidth="1"/>
    <col min="2054" max="2054" width="15.25" style="1" customWidth="1"/>
    <col min="2055" max="2061" width="14.625" style="1" customWidth="1"/>
    <col min="2062" max="2062" width="0" style="1" hidden="1" customWidth="1"/>
    <col min="2063" max="2063" width="7.875" style="1" customWidth="1"/>
    <col min="2064" max="2064" width="17.375" style="1" customWidth="1"/>
    <col min="2065" max="2065" width="14.625" style="1" customWidth="1"/>
    <col min="2066" max="2066" width="8.5" style="1" customWidth="1"/>
    <col min="2067" max="2067" width="11" style="1"/>
    <col min="2068" max="2068" width="10.125" style="1" bestFit="1" customWidth="1"/>
    <col min="2069" max="2307" width="11" style="1"/>
    <col min="2308" max="2308" width="16" style="1" customWidth="1"/>
    <col min="2309" max="2309" width="49.625" style="1" customWidth="1"/>
    <col min="2310" max="2310" width="15.25" style="1" customWidth="1"/>
    <col min="2311" max="2317" width="14.625" style="1" customWidth="1"/>
    <col min="2318" max="2318" width="0" style="1" hidden="1" customWidth="1"/>
    <col min="2319" max="2319" width="7.875" style="1" customWidth="1"/>
    <col min="2320" max="2320" width="17.375" style="1" customWidth="1"/>
    <col min="2321" max="2321" width="14.625" style="1" customWidth="1"/>
    <col min="2322" max="2322" width="8.5" style="1" customWidth="1"/>
    <col min="2323" max="2323" width="11" style="1"/>
    <col min="2324" max="2324" width="10.125" style="1" bestFit="1" customWidth="1"/>
    <col min="2325" max="2563" width="11" style="1"/>
    <col min="2564" max="2564" width="16" style="1" customWidth="1"/>
    <col min="2565" max="2565" width="49.625" style="1" customWidth="1"/>
    <col min="2566" max="2566" width="15.25" style="1" customWidth="1"/>
    <col min="2567" max="2573" width="14.625" style="1" customWidth="1"/>
    <col min="2574" max="2574" width="0" style="1" hidden="1" customWidth="1"/>
    <col min="2575" max="2575" width="7.875" style="1" customWidth="1"/>
    <col min="2576" max="2576" width="17.375" style="1" customWidth="1"/>
    <col min="2577" max="2577" width="14.625" style="1" customWidth="1"/>
    <col min="2578" max="2578" width="8.5" style="1" customWidth="1"/>
    <col min="2579" max="2579" width="11" style="1"/>
    <col min="2580" max="2580" width="10.125" style="1" bestFit="1" customWidth="1"/>
    <col min="2581" max="2819" width="11" style="1"/>
    <col min="2820" max="2820" width="16" style="1" customWidth="1"/>
    <col min="2821" max="2821" width="49.625" style="1" customWidth="1"/>
    <col min="2822" max="2822" width="15.25" style="1" customWidth="1"/>
    <col min="2823" max="2829" width="14.625" style="1" customWidth="1"/>
    <col min="2830" max="2830" width="0" style="1" hidden="1" customWidth="1"/>
    <col min="2831" max="2831" width="7.875" style="1" customWidth="1"/>
    <col min="2832" max="2832" width="17.375" style="1" customWidth="1"/>
    <col min="2833" max="2833" width="14.625" style="1" customWidth="1"/>
    <col min="2834" max="2834" width="8.5" style="1" customWidth="1"/>
    <col min="2835" max="2835" width="11" style="1"/>
    <col min="2836" max="2836" width="10.125" style="1" bestFit="1" customWidth="1"/>
    <col min="2837" max="3075" width="11" style="1"/>
    <col min="3076" max="3076" width="16" style="1" customWidth="1"/>
    <col min="3077" max="3077" width="49.625" style="1" customWidth="1"/>
    <col min="3078" max="3078" width="15.25" style="1" customWidth="1"/>
    <col min="3079" max="3085" width="14.625" style="1" customWidth="1"/>
    <col min="3086" max="3086" width="0" style="1" hidden="1" customWidth="1"/>
    <col min="3087" max="3087" width="7.875" style="1" customWidth="1"/>
    <col min="3088" max="3088" width="17.375" style="1" customWidth="1"/>
    <col min="3089" max="3089" width="14.625" style="1" customWidth="1"/>
    <col min="3090" max="3090" width="8.5" style="1" customWidth="1"/>
    <col min="3091" max="3091" width="11" style="1"/>
    <col min="3092" max="3092" width="10.125" style="1" bestFit="1" customWidth="1"/>
    <col min="3093" max="3331" width="11" style="1"/>
    <col min="3332" max="3332" width="16" style="1" customWidth="1"/>
    <col min="3333" max="3333" width="49.625" style="1" customWidth="1"/>
    <col min="3334" max="3334" width="15.25" style="1" customWidth="1"/>
    <col min="3335" max="3341" width="14.625" style="1" customWidth="1"/>
    <col min="3342" max="3342" width="0" style="1" hidden="1" customWidth="1"/>
    <col min="3343" max="3343" width="7.875" style="1" customWidth="1"/>
    <col min="3344" max="3344" width="17.375" style="1" customWidth="1"/>
    <col min="3345" max="3345" width="14.625" style="1" customWidth="1"/>
    <col min="3346" max="3346" width="8.5" style="1" customWidth="1"/>
    <col min="3347" max="3347" width="11" style="1"/>
    <col min="3348" max="3348" width="10.125" style="1" bestFit="1" customWidth="1"/>
    <col min="3349" max="3587" width="11" style="1"/>
    <col min="3588" max="3588" width="16" style="1" customWidth="1"/>
    <col min="3589" max="3589" width="49.625" style="1" customWidth="1"/>
    <col min="3590" max="3590" width="15.25" style="1" customWidth="1"/>
    <col min="3591" max="3597" width="14.625" style="1" customWidth="1"/>
    <col min="3598" max="3598" width="0" style="1" hidden="1" customWidth="1"/>
    <col min="3599" max="3599" width="7.875" style="1" customWidth="1"/>
    <col min="3600" max="3600" width="17.375" style="1" customWidth="1"/>
    <col min="3601" max="3601" width="14.625" style="1" customWidth="1"/>
    <col min="3602" max="3602" width="8.5" style="1" customWidth="1"/>
    <col min="3603" max="3603" width="11" style="1"/>
    <col min="3604" max="3604" width="10.125" style="1" bestFit="1" customWidth="1"/>
    <col min="3605" max="3843" width="11" style="1"/>
    <col min="3844" max="3844" width="16" style="1" customWidth="1"/>
    <col min="3845" max="3845" width="49.625" style="1" customWidth="1"/>
    <col min="3846" max="3846" width="15.25" style="1" customWidth="1"/>
    <col min="3847" max="3853" width="14.625" style="1" customWidth="1"/>
    <col min="3854" max="3854" width="0" style="1" hidden="1" customWidth="1"/>
    <col min="3855" max="3855" width="7.875" style="1" customWidth="1"/>
    <col min="3856" max="3856" width="17.375" style="1" customWidth="1"/>
    <col min="3857" max="3857" width="14.625" style="1" customWidth="1"/>
    <col min="3858" max="3858" width="8.5" style="1" customWidth="1"/>
    <col min="3859" max="3859" width="11" style="1"/>
    <col min="3860" max="3860" width="10.125" style="1" bestFit="1" customWidth="1"/>
    <col min="3861" max="4099" width="11" style="1"/>
    <col min="4100" max="4100" width="16" style="1" customWidth="1"/>
    <col min="4101" max="4101" width="49.625" style="1" customWidth="1"/>
    <col min="4102" max="4102" width="15.25" style="1" customWidth="1"/>
    <col min="4103" max="4109" width="14.625" style="1" customWidth="1"/>
    <col min="4110" max="4110" width="0" style="1" hidden="1" customWidth="1"/>
    <col min="4111" max="4111" width="7.875" style="1" customWidth="1"/>
    <col min="4112" max="4112" width="17.375" style="1" customWidth="1"/>
    <col min="4113" max="4113" width="14.625" style="1" customWidth="1"/>
    <col min="4114" max="4114" width="8.5" style="1" customWidth="1"/>
    <col min="4115" max="4115" width="11" style="1"/>
    <col min="4116" max="4116" width="10.125" style="1" bestFit="1" customWidth="1"/>
    <col min="4117" max="4355" width="11" style="1"/>
    <col min="4356" max="4356" width="16" style="1" customWidth="1"/>
    <col min="4357" max="4357" width="49.625" style="1" customWidth="1"/>
    <col min="4358" max="4358" width="15.25" style="1" customWidth="1"/>
    <col min="4359" max="4365" width="14.625" style="1" customWidth="1"/>
    <col min="4366" max="4366" width="0" style="1" hidden="1" customWidth="1"/>
    <col min="4367" max="4367" width="7.875" style="1" customWidth="1"/>
    <col min="4368" max="4368" width="17.375" style="1" customWidth="1"/>
    <col min="4369" max="4369" width="14.625" style="1" customWidth="1"/>
    <col min="4370" max="4370" width="8.5" style="1" customWidth="1"/>
    <col min="4371" max="4371" width="11" style="1"/>
    <col min="4372" max="4372" width="10.125" style="1" bestFit="1" customWidth="1"/>
    <col min="4373" max="4611" width="11" style="1"/>
    <col min="4612" max="4612" width="16" style="1" customWidth="1"/>
    <col min="4613" max="4613" width="49.625" style="1" customWidth="1"/>
    <col min="4614" max="4614" width="15.25" style="1" customWidth="1"/>
    <col min="4615" max="4621" width="14.625" style="1" customWidth="1"/>
    <col min="4622" max="4622" width="0" style="1" hidden="1" customWidth="1"/>
    <col min="4623" max="4623" width="7.875" style="1" customWidth="1"/>
    <col min="4624" max="4624" width="17.375" style="1" customWidth="1"/>
    <col min="4625" max="4625" width="14.625" style="1" customWidth="1"/>
    <col min="4626" max="4626" width="8.5" style="1" customWidth="1"/>
    <col min="4627" max="4627" width="11" style="1"/>
    <col min="4628" max="4628" width="10.125" style="1" bestFit="1" customWidth="1"/>
    <col min="4629" max="4867" width="11" style="1"/>
    <col min="4868" max="4868" width="16" style="1" customWidth="1"/>
    <col min="4869" max="4869" width="49.625" style="1" customWidth="1"/>
    <col min="4870" max="4870" width="15.25" style="1" customWidth="1"/>
    <col min="4871" max="4877" width="14.625" style="1" customWidth="1"/>
    <col min="4878" max="4878" width="0" style="1" hidden="1" customWidth="1"/>
    <col min="4879" max="4879" width="7.875" style="1" customWidth="1"/>
    <col min="4880" max="4880" width="17.375" style="1" customWidth="1"/>
    <col min="4881" max="4881" width="14.625" style="1" customWidth="1"/>
    <col min="4882" max="4882" width="8.5" style="1" customWidth="1"/>
    <col min="4883" max="4883" width="11" style="1"/>
    <col min="4884" max="4884" width="10.125" style="1" bestFit="1" customWidth="1"/>
    <col min="4885" max="5123" width="11" style="1"/>
    <col min="5124" max="5124" width="16" style="1" customWidth="1"/>
    <col min="5125" max="5125" width="49.625" style="1" customWidth="1"/>
    <col min="5126" max="5126" width="15.25" style="1" customWidth="1"/>
    <col min="5127" max="5133" width="14.625" style="1" customWidth="1"/>
    <col min="5134" max="5134" width="0" style="1" hidden="1" customWidth="1"/>
    <col min="5135" max="5135" width="7.875" style="1" customWidth="1"/>
    <col min="5136" max="5136" width="17.375" style="1" customWidth="1"/>
    <col min="5137" max="5137" width="14.625" style="1" customWidth="1"/>
    <col min="5138" max="5138" width="8.5" style="1" customWidth="1"/>
    <col min="5139" max="5139" width="11" style="1"/>
    <col min="5140" max="5140" width="10.125" style="1" bestFit="1" customWidth="1"/>
    <col min="5141" max="5379" width="11" style="1"/>
    <col min="5380" max="5380" width="16" style="1" customWidth="1"/>
    <col min="5381" max="5381" width="49.625" style="1" customWidth="1"/>
    <col min="5382" max="5382" width="15.25" style="1" customWidth="1"/>
    <col min="5383" max="5389" width="14.625" style="1" customWidth="1"/>
    <col min="5390" max="5390" width="0" style="1" hidden="1" customWidth="1"/>
    <col min="5391" max="5391" width="7.875" style="1" customWidth="1"/>
    <col min="5392" max="5392" width="17.375" style="1" customWidth="1"/>
    <col min="5393" max="5393" width="14.625" style="1" customWidth="1"/>
    <col min="5394" max="5394" width="8.5" style="1" customWidth="1"/>
    <col min="5395" max="5395" width="11" style="1"/>
    <col min="5396" max="5396" width="10.125" style="1" bestFit="1" customWidth="1"/>
    <col min="5397" max="5635" width="11" style="1"/>
    <col min="5636" max="5636" width="16" style="1" customWidth="1"/>
    <col min="5637" max="5637" width="49.625" style="1" customWidth="1"/>
    <col min="5638" max="5638" width="15.25" style="1" customWidth="1"/>
    <col min="5639" max="5645" width="14.625" style="1" customWidth="1"/>
    <col min="5646" max="5646" width="0" style="1" hidden="1" customWidth="1"/>
    <col min="5647" max="5647" width="7.875" style="1" customWidth="1"/>
    <col min="5648" max="5648" width="17.375" style="1" customWidth="1"/>
    <col min="5649" max="5649" width="14.625" style="1" customWidth="1"/>
    <col min="5650" max="5650" width="8.5" style="1" customWidth="1"/>
    <col min="5651" max="5651" width="11" style="1"/>
    <col min="5652" max="5652" width="10.125" style="1" bestFit="1" customWidth="1"/>
    <col min="5653" max="5891" width="11" style="1"/>
    <col min="5892" max="5892" width="16" style="1" customWidth="1"/>
    <col min="5893" max="5893" width="49.625" style="1" customWidth="1"/>
    <col min="5894" max="5894" width="15.25" style="1" customWidth="1"/>
    <col min="5895" max="5901" width="14.625" style="1" customWidth="1"/>
    <col min="5902" max="5902" width="0" style="1" hidden="1" customWidth="1"/>
    <col min="5903" max="5903" width="7.875" style="1" customWidth="1"/>
    <col min="5904" max="5904" width="17.375" style="1" customWidth="1"/>
    <col min="5905" max="5905" width="14.625" style="1" customWidth="1"/>
    <col min="5906" max="5906" width="8.5" style="1" customWidth="1"/>
    <col min="5907" max="5907" width="11" style="1"/>
    <col min="5908" max="5908" width="10.125" style="1" bestFit="1" customWidth="1"/>
    <col min="5909" max="6147" width="11" style="1"/>
    <col min="6148" max="6148" width="16" style="1" customWidth="1"/>
    <col min="6149" max="6149" width="49.625" style="1" customWidth="1"/>
    <col min="6150" max="6150" width="15.25" style="1" customWidth="1"/>
    <col min="6151" max="6157" width="14.625" style="1" customWidth="1"/>
    <col min="6158" max="6158" width="0" style="1" hidden="1" customWidth="1"/>
    <col min="6159" max="6159" width="7.875" style="1" customWidth="1"/>
    <col min="6160" max="6160" width="17.375" style="1" customWidth="1"/>
    <col min="6161" max="6161" width="14.625" style="1" customWidth="1"/>
    <col min="6162" max="6162" width="8.5" style="1" customWidth="1"/>
    <col min="6163" max="6163" width="11" style="1"/>
    <col min="6164" max="6164" width="10.125" style="1" bestFit="1" customWidth="1"/>
    <col min="6165" max="6403" width="11" style="1"/>
    <col min="6404" max="6404" width="16" style="1" customWidth="1"/>
    <col min="6405" max="6405" width="49.625" style="1" customWidth="1"/>
    <col min="6406" max="6406" width="15.25" style="1" customWidth="1"/>
    <col min="6407" max="6413" width="14.625" style="1" customWidth="1"/>
    <col min="6414" max="6414" width="0" style="1" hidden="1" customWidth="1"/>
    <col min="6415" max="6415" width="7.875" style="1" customWidth="1"/>
    <col min="6416" max="6416" width="17.375" style="1" customWidth="1"/>
    <col min="6417" max="6417" width="14.625" style="1" customWidth="1"/>
    <col min="6418" max="6418" width="8.5" style="1" customWidth="1"/>
    <col min="6419" max="6419" width="11" style="1"/>
    <col min="6420" max="6420" width="10.125" style="1" bestFit="1" customWidth="1"/>
    <col min="6421" max="6659" width="11" style="1"/>
    <col min="6660" max="6660" width="16" style="1" customWidth="1"/>
    <col min="6661" max="6661" width="49.625" style="1" customWidth="1"/>
    <col min="6662" max="6662" width="15.25" style="1" customWidth="1"/>
    <col min="6663" max="6669" width="14.625" style="1" customWidth="1"/>
    <col min="6670" max="6670" width="0" style="1" hidden="1" customWidth="1"/>
    <col min="6671" max="6671" width="7.875" style="1" customWidth="1"/>
    <col min="6672" max="6672" width="17.375" style="1" customWidth="1"/>
    <col min="6673" max="6673" width="14.625" style="1" customWidth="1"/>
    <col min="6674" max="6674" width="8.5" style="1" customWidth="1"/>
    <col min="6675" max="6675" width="11" style="1"/>
    <col min="6676" max="6676" width="10.125" style="1" bestFit="1" customWidth="1"/>
    <col min="6677" max="6915" width="11" style="1"/>
    <col min="6916" max="6916" width="16" style="1" customWidth="1"/>
    <col min="6917" max="6917" width="49.625" style="1" customWidth="1"/>
    <col min="6918" max="6918" width="15.25" style="1" customWidth="1"/>
    <col min="6919" max="6925" width="14.625" style="1" customWidth="1"/>
    <col min="6926" max="6926" width="0" style="1" hidden="1" customWidth="1"/>
    <col min="6927" max="6927" width="7.875" style="1" customWidth="1"/>
    <col min="6928" max="6928" width="17.375" style="1" customWidth="1"/>
    <col min="6929" max="6929" width="14.625" style="1" customWidth="1"/>
    <col min="6930" max="6930" width="8.5" style="1" customWidth="1"/>
    <col min="6931" max="6931" width="11" style="1"/>
    <col min="6932" max="6932" width="10.125" style="1" bestFit="1" customWidth="1"/>
    <col min="6933" max="7171" width="11" style="1"/>
    <col min="7172" max="7172" width="16" style="1" customWidth="1"/>
    <col min="7173" max="7173" width="49.625" style="1" customWidth="1"/>
    <col min="7174" max="7174" width="15.25" style="1" customWidth="1"/>
    <col min="7175" max="7181" width="14.625" style="1" customWidth="1"/>
    <col min="7182" max="7182" width="0" style="1" hidden="1" customWidth="1"/>
    <col min="7183" max="7183" width="7.875" style="1" customWidth="1"/>
    <col min="7184" max="7184" width="17.375" style="1" customWidth="1"/>
    <col min="7185" max="7185" width="14.625" style="1" customWidth="1"/>
    <col min="7186" max="7186" width="8.5" style="1" customWidth="1"/>
    <col min="7187" max="7187" width="11" style="1"/>
    <col min="7188" max="7188" width="10.125" style="1" bestFit="1" customWidth="1"/>
    <col min="7189" max="7427" width="11" style="1"/>
    <col min="7428" max="7428" width="16" style="1" customWidth="1"/>
    <col min="7429" max="7429" width="49.625" style="1" customWidth="1"/>
    <col min="7430" max="7430" width="15.25" style="1" customWidth="1"/>
    <col min="7431" max="7437" width="14.625" style="1" customWidth="1"/>
    <col min="7438" max="7438" width="0" style="1" hidden="1" customWidth="1"/>
    <col min="7439" max="7439" width="7.875" style="1" customWidth="1"/>
    <col min="7440" max="7440" width="17.375" style="1" customWidth="1"/>
    <col min="7441" max="7441" width="14.625" style="1" customWidth="1"/>
    <col min="7442" max="7442" width="8.5" style="1" customWidth="1"/>
    <col min="7443" max="7443" width="11" style="1"/>
    <col min="7444" max="7444" width="10.125" style="1" bestFit="1" customWidth="1"/>
    <col min="7445" max="7683" width="11" style="1"/>
    <col min="7684" max="7684" width="16" style="1" customWidth="1"/>
    <col min="7685" max="7685" width="49.625" style="1" customWidth="1"/>
    <col min="7686" max="7686" width="15.25" style="1" customWidth="1"/>
    <col min="7687" max="7693" width="14.625" style="1" customWidth="1"/>
    <col min="7694" max="7694" width="0" style="1" hidden="1" customWidth="1"/>
    <col min="7695" max="7695" width="7.875" style="1" customWidth="1"/>
    <col min="7696" max="7696" width="17.375" style="1" customWidth="1"/>
    <col min="7697" max="7697" width="14.625" style="1" customWidth="1"/>
    <col min="7698" max="7698" width="8.5" style="1" customWidth="1"/>
    <col min="7699" max="7699" width="11" style="1"/>
    <col min="7700" max="7700" width="10.125" style="1" bestFit="1" customWidth="1"/>
    <col min="7701" max="7939" width="11" style="1"/>
    <col min="7940" max="7940" width="16" style="1" customWidth="1"/>
    <col min="7941" max="7941" width="49.625" style="1" customWidth="1"/>
    <col min="7942" max="7942" width="15.25" style="1" customWidth="1"/>
    <col min="7943" max="7949" width="14.625" style="1" customWidth="1"/>
    <col min="7950" max="7950" width="0" style="1" hidden="1" customWidth="1"/>
    <col min="7951" max="7951" width="7.875" style="1" customWidth="1"/>
    <col min="7952" max="7952" width="17.375" style="1" customWidth="1"/>
    <col min="7953" max="7953" width="14.625" style="1" customWidth="1"/>
    <col min="7954" max="7954" width="8.5" style="1" customWidth="1"/>
    <col min="7955" max="7955" width="11" style="1"/>
    <col min="7956" max="7956" width="10.125" style="1" bestFit="1" customWidth="1"/>
    <col min="7957" max="8195" width="11" style="1"/>
    <col min="8196" max="8196" width="16" style="1" customWidth="1"/>
    <col min="8197" max="8197" width="49.625" style="1" customWidth="1"/>
    <col min="8198" max="8198" width="15.25" style="1" customWidth="1"/>
    <col min="8199" max="8205" width="14.625" style="1" customWidth="1"/>
    <col min="8206" max="8206" width="0" style="1" hidden="1" customWidth="1"/>
    <col min="8207" max="8207" width="7.875" style="1" customWidth="1"/>
    <col min="8208" max="8208" width="17.375" style="1" customWidth="1"/>
    <col min="8209" max="8209" width="14.625" style="1" customWidth="1"/>
    <col min="8210" max="8210" width="8.5" style="1" customWidth="1"/>
    <col min="8211" max="8211" width="11" style="1"/>
    <col min="8212" max="8212" width="10.125" style="1" bestFit="1" customWidth="1"/>
    <col min="8213" max="8451" width="11" style="1"/>
    <col min="8452" max="8452" width="16" style="1" customWidth="1"/>
    <col min="8453" max="8453" width="49.625" style="1" customWidth="1"/>
    <col min="8454" max="8454" width="15.25" style="1" customWidth="1"/>
    <col min="8455" max="8461" width="14.625" style="1" customWidth="1"/>
    <col min="8462" max="8462" width="0" style="1" hidden="1" customWidth="1"/>
    <col min="8463" max="8463" width="7.875" style="1" customWidth="1"/>
    <col min="8464" max="8464" width="17.375" style="1" customWidth="1"/>
    <col min="8465" max="8465" width="14.625" style="1" customWidth="1"/>
    <col min="8466" max="8466" width="8.5" style="1" customWidth="1"/>
    <col min="8467" max="8467" width="11" style="1"/>
    <col min="8468" max="8468" width="10.125" style="1" bestFit="1" customWidth="1"/>
    <col min="8469" max="8707" width="11" style="1"/>
    <col min="8708" max="8708" width="16" style="1" customWidth="1"/>
    <col min="8709" max="8709" width="49.625" style="1" customWidth="1"/>
    <col min="8710" max="8710" width="15.25" style="1" customWidth="1"/>
    <col min="8711" max="8717" width="14.625" style="1" customWidth="1"/>
    <col min="8718" max="8718" width="0" style="1" hidden="1" customWidth="1"/>
    <col min="8719" max="8719" width="7.875" style="1" customWidth="1"/>
    <col min="8720" max="8720" width="17.375" style="1" customWidth="1"/>
    <col min="8721" max="8721" width="14.625" style="1" customWidth="1"/>
    <col min="8722" max="8722" width="8.5" style="1" customWidth="1"/>
    <col min="8723" max="8723" width="11" style="1"/>
    <col min="8724" max="8724" width="10.125" style="1" bestFit="1" customWidth="1"/>
    <col min="8725" max="8963" width="11" style="1"/>
    <col min="8964" max="8964" width="16" style="1" customWidth="1"/>
    <col min="8965" max="8965" width="49.625" style="1" customWidth="1"/>
    <col min="8966" max="8966" width="15.25" style="1" customWidth="1"/>
    <col min="8967" max="8973" width="14.625" style="1" customWidth="1"/>
    <col min="8974" max="8974" width="0" style="1" hidden="1" customWidth="1"/>
    <col min="8975" max="8975" width="7.875" style="1" customWidth="1"/>
    <col min="8976" max="8976" width="17.375" style="1" customWidth="1"/>
    <col min="8977" max="8977" width="14.625" style="1" customWidth="1"/>
    <col min="8978" max="8978" width="8.5" style="1" customWidth="1"/>
    <col min="8979" max="8979" width="11" style="1"/>
    <col min="8980" max="8980" width="10.125" style="1" bestFit="1" customWidth="1"/>
    <col min="8981" max="9219" width="11" style="1"/>
    <col min="9220" max="9220" width="16" style="1" customWidth="1"/>
    <col min="9221" max="9221" width="49.625" style="1" customWidth="1"/>
    <col min="9222" max="9222" width="15.25" style="1" customWidth="1"/>
    <col min="9223" max="9229" width="14.625" style="1" customWidth="1"/>
    <col min="9230" max="9230" width="0" style="1" hidden="1" customWidth="1"/>
    <col min="9231" max="9231" width="7.875" style="1" customWidth="1"/>
    <col min="9232" max="9232" width="17.375" style="1" customWidth="1"/>
    <col min="9233" max="9233" width="14.625" style="1" customWidth="1"/>
    <col min="9234" max="9234" width="8.5" style="1" customWidth="1"/>
    <col min="9235" max="9235" width="11" style="1"/>
    <col min="9236" max="9236" width="10.125" style="1" bestFit="1" customWidth="1"/>
    <col min="9237" max="9475" width="11" style="1"/>
    <col min="9476" max="9476" width="16" style="1" customWidth="1"/>
    <col min="9477" max="9477" width="49.625" style="1" customWidth="1"/>
    <col min="9478" max="9478" width="15.25" style="1" customWidth="1"/>
    <col min="9479" max="9485" width="14.625" style="1" customWidth="1"/>
    <col min="9486" max="9486" width="0" style="1" hidden="1" customWidth="1"/>
    <col min="9487" max="9487" width="7.875" style="1" customWidth="1"/>
    <col min="9488" max="9488" width="17.375" style="1" customWidth="1"/>
    <col min="9489" max="9489" width="14.625" style="1" customWidth="1"/>
    <col min="9490" max="9490" width="8.5" style="1" customWidth="1"/>
    <col min="9491" max="9491" width="11" style="1"/>
    <col min="9492" max="9492" width="10.125" style="1" bestFit="1" customWidth="1"/>
    <col min="9493" max="9731" width="11" style="1"/>
    <col min="9732" max="9732" width="16" style="1" customWidth="1"/>
    <col min="9733" max="9733" width="49.625" style="1" customWidth="1"/>
    <col min="9734" max="9734" width="15.25" style="1" customWidth="1"/>
    <col min="9735" max="9741" width="14.625" style="1" customWidth="1"/>
    <col min="9742" max="9742" width="0" style="1" hidden="1" customWidth="1"/>
    <col min="9743" max="9743" width="7.875" style="1" customWidth="1"/>
    <col min="9744" max="9744" width="17.375" style="1" customWidth="1"/>
    <col min="9745" max="9745" width="14.625" style="1" customWidth="1"/>
    <col min="9746" max="9746" width="8.5" style="1" customWidth="1"/>
    <col min="9747" max="9747" width="11" style="1"/>
    <col min="9748" max="9748" width="10.125" style="1" bestFit="1" customWidth="1"/>
    <col min="9749" max="9987" width="11" style="1"/>
    <col min="9988" max="9988" width="16" style="1" customWidth="1"/>
    <col min="9989" max="9989" width="49.625" style="1" customWidth="1"/>
    <col min="9990" max="9990" width="15.25" style="1" customWidth="1"/>
    <col min="9991" max="9997" width="14.625" style="1" customWidth="1"/>
    <col min="9998" max="9998" width="0" style="1" hidden="1" customWidth="1"/>
    <col min="9999" max="9999" width="7.875" style="1" customWidth="1"/>
    <col min="10000" max="10000" width="17.375" style="1" customWidth="1"/>
    <col min="10001" max="10001" width="14.625" style="1" customWidth="1"/>
    <col min="10002" max="10002" width="8.5" style="1" customWidth="1"/>
    <col min="10003" max="10003" width="11" style="1"/>
    <col min="10004" max="10004" width="10.125" style="1" bestFit="1" customWidth="1"/>
    <col min="10005" max="10243" width="11" style="1"/>
    <col min="10244" max="10244" width="16" style="1" customWidth="1"/>
    <col min="10245" max="10245" width="49.625" style="1" customWidth="1"/>
    <col min="10246" max="10246" width="15.25" style="1" customWidth="1"/>
    <col min="10247" max="10253" width="14.625" style="1" customWidth="1"/>
    <col min="10254" max="10254" width="0" style="1" hidden="1" customWidth="1"/>
    <col min="10255" max="10255" width="7.875" style="1" customWidth="1"/>
    <col min="10256" max="10256" width="17.375" style="1" customWidth="1"/>
    <col min="10257" max="10257" width="14.625" style="1" customWidth="1"/>
    <col min="10258" max="10258" width="8.5" style="1" customWidth="1"/>
    <col min="10259" max="10259" width="11" style="1"/>
    <col min="10260" max="10260" width="10.125" style="1" bestFit="1" customWidth="1"/>
    <col min="10261" max="10499" width="11" style="1"/>
    <col min="10500" max="10500" width="16" style="1" customWidth="1"/>
    <col min="10501" max="10501" width="49.625" style="1" customWidth="1"/>
    <col min="10502" max="10502" width="15.25" style="1" customWidth="1"/>
    <col min="10503" max="10509" width="14.625" style="1" customWidth="1"/>
    <col min="10510" max="10510" width="0" style="1" hidden="1" customWidth="1"/>
    <col min="10511" max="10511" width="7.875" style="1" customWidth="1"/>
    <col min="10512" max="10512" width="17.375" style="1" customWidth="1"/>
    <col min="10513" max="10513" width="14.625" style="1" customWidth="1"/>
    <col min="10514" max="10514" width="8.5" style="1" customWidth="1"/>
    <col min="10515" max="10515" width="11" style="1"/>
    <col min="10516" max="10516" width="10.125" style="1" bestFit="1" customWidth="1"/>
    <col min="10517" max="10755" width="11" style="1"/>
    <col min="10756" max="10756" width="16" style="1" customWidth="1"/>
    <col min="10757" max="10757" width="49.625" style="1" customWidth="1"/>
    <col min="10758" max="10758" width="15.25" style="1" customWidth="1"/>
    <col min="10759" max="10765" width="14.625" style="1" customWidth="1"/>
    <col min="10766" max="10766" width="0" style="1" hidden="1" customWidth="1"/>
    <col min="10767" max="10767" width="7.875" style="1" customWidth="1"/>
    <col min="10768" max="10768" width="17.375" style="1" customWidth="1"/>
    <col min="10769" max="10769" width="14.625" style="1" customWidth="1"/>
    <col min="10770" max="10770" width="8.5" style="1" customWidth="1"/>
    <col min="10771" max="10771" width="11" style="1"/>
    <col min="10772" max="10772" width="10.125" style="1" bestFit="1" customWidth="1"/>
    <col min="10773" max="11011" width="11" style="1"/>
    <col min="11012" max="11012" width="16" style="1" customWidth="1"/>
    <col min="11013" max="11013" width="49.625" style="1" customWidth="1"/>
    <col min="11014" max="11014" width="15.25" style="1" customWidth="1"/>
    <col min="11015" max="11021" width="14.625" style="1" customWidth="1"/>
    <col min="11022" max="11022" width="0" style="1" hidden="1" customWidth="1"/>
    <col min="11023" max="11023" width="7.875" style="1" customWidth="1"/>
    <col min="11024" max="11024" width="17.375" style="1" customWidth="1"/>
    <col min="11025" max="11025" width="14.625" style="1" customWidth="1"/>
    <col min="11026" max="11026" width="8.5" style="1" customWidth="1"/>
    <col min="11027" max="11027" width="11" style="1"/>
    <col min="11028" max="11028" width="10.125" style="1" bestFit="1" customWidth="1"/>
    <col min="11029" max="11267" width="11" style="1"/>
    <col min="11268" max="11268" width="16" style="1" customWidth="1"/>
    <col min="11269" max="11269" width="49.625" style="1" customWidth="1"/>
    <col min="11270" max="11270" width="15.25" style="1" customWidth="1"/>
    <col min="11271" max="11277" width="14.625" style="1" customWidth="1"/>
    <col min="11278" max="11278" width="0" style="1" hidden="1" customWidth="1"/>
    <col min="11279" max="11279" width="7.875" style="1" customWidth="1"/>
    <col min="11280" max="11280" width="17.375" style="1" customWidth="1"/>
    <col min="11281" max="11281" width="14.625" style="1" customWidth="1"/>
    <col min="11282" max="11282" width="8.5" style="1" customWidth="1"/>
    <col min="11283" max="11283" width="11" style="1"/>
    <col min="11284" max="11284" width="10.125" style="1" bestFit="1" customWidth="1"/>
    <col min="11285" max="11523" width="11" style="1"/>
    <col min="11524" max="11524" width="16" style="1" customWidth="1"/>
    <col min="11525" max="11525" width="49.625" style="1" customWidth="1"/>
    <col min="11526" max="11526" width="15.25" style="1" customWidth="1"/>
    <col min="11527" max="11533" width="14.625" style="1" customWidth="1"/>
    <col min="11534" max="11534" width="0" style="1" hidden="1" customWidth="1"/>
    <col min="11535" max="11535" width="7.875" style="1" customWidth="1"/>
    <col min="11536" max="11536" width="17.375" style="1" customWidth="1"/>
    <col min="11537" max="11537" width="14.625" style="1" customWidth="1"/>
    <col min="11538" max="11538" width="8.5" style="1" customWidth="1"/>
    <col min="11539" max="11539" width="11" style="1"/>
    <col min="11540" max="11540" width="10.125" style="1" bestFit="1" customWidth="1"/>
    <col min="11541" max="11779" width="11" style="1"/>
    <col min="11780" max="11780" width="16" style="1" customWidth="1"/>
    <col min="11781" max="11781" width="49.625" style="1" customWidth="1"/>
    <col min="11782" max="11782" width="15.25" style="1" customWidth="1"/>
    <col min="11783" max="11789" width="14.625" style="1" customWidth="1"/>
    <col min="11790" max="11790" width="0" style="1" hidden="1" customWidth="1"/>
    <col min="11791" max="11791" width="7.875" style="1" customWidth="1"/>
    <col min="11792" max="11792" width="17.375" style="1" customWidth="1"/>
    <col min="11793" max="11793" width="14.625" style="1" customWidth="1"/>
    <col min="11794" max="11794" width="8.5" style="1" customWidth="1"/>
    <col min="11795" max="11795" width="11" style="1"/>
    <col min="11796" max="11796" width="10.125" style="1" bestFit="1" customWidth="1"/>
    <col min="11797" max="12035" width="11" style="1"/>
    <col min="12036" max="12036" width="16" style="1" customWidth="1"/>
    <col min="12037" max="12037" width="49.625" style="1" customWidth="1"/>
    <col min="12038" max="12038" width="15.25" style="1" customWidth="1"/>
    <col min="12039" max="12045" width="14.625" style="1" customWidth="1"/>
    <col min="12046" max="12046" width="0" style="1" hidden="1" customWidth="1"/>
    <col min="12047" max="12047" width="7.875" style="1" customWidth="1"/>
    <col min="12048" max="12048" width="17.375" style="1" customWidth="1"/>
    <col min="12049" max="12049" width="14.625" style="1" customWidth="1"/>
    <col min="12050" max="12050" width="8.5" style="1" customWidth="1"/>
    <col min="12051" max="12051" width="11" style="1"/>
    <col min="12052" max="12052" width="10.125" style="1" bestFit="1" customWidth="1"/>
    <col min="12053" max="12291" width="11" style="1"/>
    <col min="12292" max="12292" width="16" style="1" customWidth="1"/>
    <col min="12293" max="12293" width="49.625" style="1" customWidth="1"/>
    <col min="12294" max="12294" width="15.25" style="1" customWidth="1"/>
    <col min="12295" max="12301" width="14.625" style="1" customWidth="1"/>
    <col min="12302" max="12302" width="0" style="1" hidden="1" customWidth="1"/>
    <col min="12303" max="12303" width="7.875" style="1" customWidth="1"/>
    <col min="12304" max="12304" width="17.375" style="1" customWidth="1"/>
    <col min="12305" max="12305" width="14.625" style="1" customWidth="1"/>
    <col min="12306" max="12306" width="8.5" style="1" customWidth="1"/>
    <col min="12307" max="12307" width="11" style="1"/>
    <col min="12308" max="12308" width="10.125" style="1" bestFit="1" customWidth="1"/>
    <col min="12309" max="12547" width="11" style="1"/>
    <col min="12548" max="12548" width="16" style="1" customWidth="1"/>
    <col min="12549" max="12549" width="49.625" style="1" customWidth="1"/>
    <col min="12550" max="12550" width="15.25" style="1" customWidth="1"/>
    <col min="12551" max="12557" width="14.625" style="1" customWidth="1"/>
    <col min="12558" max="12558" width="0" style="1" hidden="1" customWidth="1"/>
    <col min="12559" max="12559" width="7.875" style="1" customWidth="1"/>
    <col min="12560" max="12560" width="17.375" style="1" customWidth="1"/>
    <col min="12561" max="12561" width="14.625" style="1" customWidth="1"/>
    <col min="12562" max="12562" width="8.5" style="1" customWidth="1"/>
    <col min="12563" max="12563" width="11" style="1"/>
    <col min="12564" max="12564" width="10.125" style="1" bestFit="1" customWidth="1"/>
    <col min="12565" max="12803" width="11" style="1"/>
    <col min="12804" max="12804" width="16" style="1" customWidth="1"/>
    <col min="12805" max="12805" width="49.625" style="1" customWidth="1"/>
    <col min="12806" max="12806" width="15.25" style="1" customWidth="1"/>
    <col min="12807" max="12813" width="14.625" style="1" customWidth="1"/>
    <col min="12814" max="12814" width="0" style="1" hidden="1" customWidth="1"/>
    <col min="12815" max="12815" width="7.875" style="1" customWidth="1"/>
    <col min="12816" max="12816" width="17.375" style="1" customWidth="1"/>
    <col min="12817" max="12817" width="14.625" style="1" customWidth="1"/>
    <col min="12818" max="12818" width="8.5" style="1" customWidth="1"/>
    <col min="12819" max="12819" width="11" style="1"/>
    <col min="12820" max="12820" width="10.125" style="1" bestFit="1" customWidth="1"/>
    <col min="12821" max="13059" width="11" style="1"/>
    <col min="13060" max="13060" width="16" style="1" customWidth="1"/>
    <col min="13061" max="13061" width="49.625" style="1" customWidth="1"/>
    <col min="13062" max="13062" width="15.25" style="1" customWidth="1"/>
    <col min="13063" max="13069" width="14.625" style="1" customWidth="1"/>
    <col min="13070" max="13070" width="0" style="1" hidden="1" customWidth="1"/>
    <col min="13071" max="13071" width="7.875" style="1" customWidth="1"/>
    <col min="13072" max="13072" width="17.375" style="1" customWidth="1"/>
    <col min="13073" max="13073" width="14.625" style="1" customWidth="1"/>
    <col min="13074" max="13074" width="8.5" style="1" customWidth="1"/>
    <col min="13075" max="13075" width="11" style="1"/>
    <col min="13076" max="13076" width="10.125" style="1" bestFit="1" customWidth="1"/>
    <col min="13077" max="13315" width="11" style="1"/>
    <col min="13316" max="13316" width="16" style="1" customWidth="1"/>
    <col min="13317" max="13317" width="49.625" style="1" customWidth="1"/>
    <col min="13318" max="13318" width="15.25" style="1" customWidth="1"/>
    <col min="13319" max="13325" width="14.625" style="1" customWidth="1"/>
    <col min="13326" max="13326" width="0" style="1" hidden="1" customWidth="1"/>
    <col min="13327" max="13327" width="7.875" style="1" customWidth="1"/>
    <col min="13328" max="13328" width="17.375" style="1" customWidth="1"/>
    <col min="13329" max="13329" width="14.625" style="1" customWidth="1"/>
    <col min="13330" max="13330" width="8.5" style="1" customWidth="1"/>
    <col min="13331" max="13331" width="11" style="1"/>
    <col min="13332" max="13332" width="10.125" style="1" bestFit="1" customWidth="1"/>
    <col min="13333" max="13571" width="11" style="1"/>
    <col min="13572" max="13572" width="16" style="1" customWidth="1"/>
    <col min="13573" max="13573" width="49.625" style="1" customWidth="1"/>
    <col min="13574" max="13574" width="15.25" style="1" customWidth="1"/>
    <col min="13575" max="13581" width="14.625" style="1" customWidth="1"/>
    <col min="13582" max="13582" width="0" style="1" hidden="1" customWidth="1"/>
    <col min="13583" max="13583" width="7.875" style="1" customWidth="1"/>
    <col min="13584" max="13584" width="17.375" style="1" customWidth="1"/>
    <col min="13585" max="13585" width="14.625" style="1" customWidth="1"/>
    <col min="13586" max="13586" width="8.5" style="1" customWidth="1"/>
    <col min="13587" max="13587" width="11" style="1"/>
    <col min="13588" max="13588" width="10.125" style="1" bestFit="1" customWidth="1"/>
    <col min="13589" max="13827" width="11" style="1"/>
    <col min="13828" max="13828" width="16" style="1" customWidth="1"/>
    <col min="13829" max="13829" width="49.625" style="1" customWidth="1"/>
    <col min="13830" max="13830" width="15.25" style="1" customWidth="1"/>
    <col min="13831" max="13837" width="14.625" style="1" customWidth="1"/>
    <col min="13838" max="13838" width="0" style="1" hidden="1" customWidth="1"/>
    <col min="13839" max="13839" width="7.875" style="1" customWidth="1"/>
    <col min="13840" max="13840" width="17.375" style="1" customWidth="1"/>
    <col min="13841" max="13841" width="14.625" style="1" customWidth="1"/>
    <col min="13842" max="13842" width="8.5" style="1" customWidth="1"/>
    <col min="13843" max="13843" width="11" style="1"/>
    <col min="13844" max="13844" width="10.125" style="1" bestFit="1" customWidth="1"/>
    <col min="13845" max="14083" width="11" style="1"/>
    <col min="14084" max="14084" width="16" style="1" customWidth="1"/>
    <col min="14085" max="14085" width="49.625" style="1" customWidth="1"/>
    <col min="14086" max="14086" width="15.25" style="1" customWidth="1"/>
    <col min="14087" max="14093" width="14.625" style="1" customWidth="1"/>
    <col min="14094" max="14094" width="0" style="1" hidden="1" customWidth="1"/>
    <col min="14095" max="14095" width="7.875" style="1" customWidth="1"/>
    <col min="14096" max="14096" width="17.375" style="1" customWidth="1"/>
    <col min="14097" max="14097" width="14.625" style="1" customWidth="1"/>
    <col min="14098" max="14098" width="8.5" style="1" customWidth="1"/>
    <col min="14099" max="14099" width="11" style="1"/>
    <col min="14100" max="14100" width="10.125" style="1" bestFit="1" customWidth="1"/>
    <col min="14101" max="14339" width="11" style="1"/>
    <col min="14340" max="14340" width="16" style="1" customWidth="1"/>
    <col min="14341" max="14341" width="49.625" style="1" customWidth="1"/>
    <col min="14342" max="14342" width="15.25" style="1" customWidth="1"/>
    <col min="14343" max="14349" width="14.625" style="1" customWidth="1"/>
    <col min="14350" max="14350" width="0" style="1" hidden="1" customWidth="1"/>
    <col min="14351" max="14351" width="7.875" style="1" customWidth="1"/>
    <col min="14352" max="14352" width="17.375" style="1" customWidth="1"/>
    <col min="14353" max="14353" width="14.625" style="1" customWidth="1"/>
    <col min="14354" max="14354" width="8.5" style="1" customWidth="1"/>
    <col min="14355" max="14355" width="11" style="1"/>
    <col min="14356" max="14356" width="10.125" style="1" bestFit="1" customWidth="1"/>
    <col min="14357" max="14595" width="11" style="1"/>
    <col min="14596" max="14596" width="16" style="1" customWidth="1"/>
    <col min="14597" max="14597" width="49.625" style="1" customWidth="1"/>
    <col min="14598" max="14598" width="15.25" style="1" customWidth="1"/>
    <col min="14599" max="14605" width="14.625" style="1" customWidth="1"/>
    <col min="14606" max="14606" width="0" style="1" hidden="1" customWidth="1"/>
    <col min="14607" max="14607" width="7.875" style="1" customWidth="1"/>
    <col min="14608" max="14608" width="17.375" style="1" customWidth="1"/>
    <col min="14609" max="14609" width="14.625" style="1" customWidth="1"/>
    <col min="14610" max="14610" width="8.5" style="1" customWidth="1"/>
    <col min="14611" max="14611" width="11" style="1"/>
    <col min="14612" max="14612" width="10.125" style="1" bestFit="1" customWidth="1"/>
    <col min="14613" max="14851" width="11" style="1"/>
    <col min="14852" max="14852" width="16" style="1" customWidth="1"/>
    <col min="14853" max="14853" width="49.625" style="1" customWidth="1"/>
    <col min="14854" max="14854" width="15.25" style="1" customWidth="1"/>
    <col min="14855" max="14861" width="14.625" style="1" customWidth="1"/>
    <col min="14862" max="14862" width="0" style="1" hidden="1" customWidth="1"/>
    <col min="14863" max="14863" width="7.875" style="1" customWidth="1"/>
    <col min="14864" max="14864" width="17.375" style="1" customWidth="1"/>
    <col min="14865" max="14865" width="14.625" style="1" customWidth="1"/>
    <col min="14866" max="14866" width="8.5" style="1" customWidth="1"/>
    <col min="14867" max="14867" width="11" style="1"/>
    <col min="14868" max="14868" width="10.125" style="1" bestFit="1" customWidth="1"/>
    <col min="14869" max="15107" width="11" style="1"/>
    <col min="15108" max="15108" width="16" style="1" customWidth="1"/>
    <col min="15109" max="15109" width="49.625" style="1" customWidth="1"/>
    <col min="15110" max="15110" width="15.25" style="1" customWidth="1"/>
    <col min="15111" max="15117" width="14.625" style="1" customWidth="1"/>
    <col min="15118" max="15118" width="0" style="1" hidden="1" customWidth="1"/>
    <col min="15119" max="15119" width="7.875" style="1" customWidth="1"/>
    <col min="15120" max="15120" width="17.375" style="1" customWidth="1"/>
    <col min="15121" max="15121" width="14.625" style="1" customWidth="1"/>
    <col min="15122" max="15122" width="8.5" style="1" customWidth="1"/>
    <col min="15123" max="15123" width="11" style="1"/>
    <col min="15124" max="15124" width="10.125" style="1" bestFit="1" customWidth="1"/>
    <col min="15125" max="15363" width="11" style="1"/>
    <col min="15364" max="15364" width="16" style="1" customWidth="1"/>
    <col min="15365" max="15365" width="49.625" style="1" customWidth="1"/>
    <col min="15366" max="15366" width="15.25" style="1" customWidth="1"/>
    <col min="15367" max="15373" width="14.625" style="1" customWidth="1"/>
    <col min="15374" max="15374" width="0" style="1" hidden="1" customWidth="1"/>
    <col min="15375" max="15375" width="7.875" style="1" customWidth="1"/>
    <col min="15376" max="15376" width="17.375" style="1" customWidth="1"/>
    <col min="15377" max="15377" width="14.625" style="1" customWidth="1"/>
    <col min="15378" max="15378" width="8.5" style="1" customWidth="1"/>
    <col min="15379" max="15379" width="11" style="1"/>
    <col min="15380" max="15380" width="10.125" style="1" bestFit="1" customWidth="1"/>
    <col min="15381" max="15619" width="11" style="1"/>
    <col min="15620" max="15620" width="16" style="1" customWidth="1"/>
    <col min="15621" max="15621" width="49.625" style="1" customWidth="1"/>
    <col min="15622" max="15622" width="15.25" style="1" customWidth="1"/>
    <col min="15623" max="15629" width="14.625" style="1" customWidth="1"/>
    <col min="15630" max="15630" width="0" style="1" hidden="1" customWidth="1"/>
    <col min="15631" max="15631" width="7.875" style="1" customWidth="1"/>
    <col min="15632" max="15632" width="17.375" style="1" customWidth="1"/>
    <col min="15633" max="15633" width="14.625" style="1" customWidth="1"/>
    <col min="15634" max="15634" width="8.5" style="1" customWidth="1"/>
    <col min="15635" max="15635" width="11" style="1"/>
    <col min="15636" max="15636" width="10.125" style="1" bestFit="1" customWidth="1"/>
    <col min="15637" max="15875" width="11" style="1"/>
    <col min="15876" max="15876" width="16" style="1" customWidth="1"/>
    <col min="15877" max="15877" width="49.625" style="1" customWidth="1"/>
    <col min="15878" max="15878" width="15.25" style="1" customWidth="1"/>
    <col min="15879" max="15885" width="14.625" style="1" customWidth="1"/>
    <col min="15886" max="15886" width="0" style="1" hidden="1" customWidth="1"/>
    <col min="15887" max="15887" width="7.875" style="1" customWidth="1"/>
    <col min="15888" max="15888" width="17.375" style="1" customWidth="1"/>
    <col min="15889" max="15889" width="14.625" style="1" customWidth="1"/>
    <col min="15890" max="15890" width="8.5" style="1" customWidth="1"/>
    <col min="15891" max="15891" width="11" style="1"/>
    <col min="15892" max="15892" width="10.125" style="1" bestFit="1" customWidth="1"/>
    <col min="15893" max="16131" width="11" style="1"/>
    <col min="16132" max="16132" width="16" style="1" customWidth="1"/>
    <col min="16133" max="16133" width="49.625" style="1" customWidth="1"/>
    <col min="16134" max="16134" width="15.25" style="1" customWidth="1"/>
    <col min="16135" max="16141" width="14.625" style="1" customWidth="1"/>
    <col min="16142" max="16142" width="0" style="1" hidden="1" customWidth="1"/>
    <col min="16143" max="16143" width="7.875" style="1" customWidth="1"/>
    <col min="16144" max="16144" width="17.375" style="1" customWidth="1"/>
    <col min="16145" max="16145" width="14.625" style="1" customWidth="1"/>
    <col min="16146" max="16146" width="8.5" style="1" customWidth="1"/>
    <col min="16147" max="16147" width="11" style="1"/>
    <col min="16148" max="16148" width="10.125" style="1" bestFit="1" customWidth="1"/>
    <col min="16149" max="16384" width="11" style="1"/>
  </cols>
  <sheetData>
    <row r="1" spans="1:21" ht="18">
      <c r="A1" s="679" t="s">
        <v>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520"/>
      <c r="R1" s="520"/>
    </row>
    <row r="2" spans="1:21" ht="18">
      <c r="A2" s="680" t="s">
        <v>156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521"/>
      <c r="R2" s="521"/>
    </row>
    <row r="3" spans="1:21" ht="18">
      <c r="A3" s="680" t="s">
        <v>200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521"/>
      <c r="R3" s="521"/>
    </row>
    <row r="4" spans="1:21" ht="18.75" thickBot="1">
      <c r="A4" s="299"/>
      <c r="B4" s="300"/>
      <c r="C4" s="300"/>
      <c r="D4" s="300"/>
      <c r="E4" s="300"/>
      <c r="F4" s="301"/>
      <c r="G4" s="301"/>
      <c r="H4" s="300"/>
      <c r="I4" s="300"/>
      <c r="J4" s="300"/>
      <c r="K4" s="300"/>
      <c r="L4" s="300"/>
      <c r="M4" s="302"/>
      <c r="N4" s="302"/>
      <c r="O4" s="300"/>
      <c r="P4" s="303"/>
      <c r="Q4" s="303"/>
      <c r="R4" s="303"/>
    </row>
    <row r="5" spans="1:21" s="537" customFormat="1" ht="23.25" customHeight="1" thickBot="1">
      <c r="A5" s="703" t="s">
        <v>222</v>
      </c>
      <c r="B5" s="703"/>
      <c r="C5" s="538" t="s">
        <v>158</v>
      </c>
      <c r="D5" s="538"/>
      <c r="E5" s="533"/>
      <c r="F5" s="700" t="s">
        <v>219</v>
      </c>
      <c r="G5" s="701"/>
      <c r="H5" s="702"/>
      <c r="I5" s="704" t="s">
        <v>223</v>
      </c>
      <c r="J5" s="534" t="s">
        <v>163</v>
      </c>
      <c r="K5" s="532" t="s">
        <v>164</v>
      </c>
      <c r="L5" s="689" t="s">
        <v>165</v>
      </c>
      <c r="M5" s="535"/>
      <c r="N5" s="535"/>
      <c r="O5" s="532"/>
      <c r="P5" s="536" t="s">
        <v>165</v>
      </c>
      <c r="Q5" s="697" t="s">
        <v>226</v>
      </c>
      <c r="R5" s="698"/>
      <c r="S5" s="699"/>
      <c r="T5" s="550" t="s">
        <v>227</v>
      </c>
      <c r="U5" s="550" t="s">
        <v>228</v>
      </c>
    </row>
    <row r="6" spans="1:21" s="531" customFormat="1" ht="44.25" customHeight="1" thickBot="1">
      <c r="A6" s="540" t="s">
        <v>221</v>
      </c>
      <c r="B6" s="540" t="s">
        <v>1</v>
      </c>
      <c r="C6" s="539" t="s">
        <v>3</v>
      </c>
      <c r="D6" s="539"/>
      <c r="E6" s="526"/>
      <c r="F6" s="527" t="s">
        <v>160</v>
      </c>
      <c r="G6" s="528" t="s">
        <v>2</v>
      </c>
      <c r="H6" s="525" t="s">
        <v>220</v>
      </c>
      <c r="I6" s="705"/>
      <c r="J6" s="529" t="s">
        <v>167</v>
      </c>
      <c r="K6" s="524" t="s">
        <v>168</v>
      </c>
      <c r="L6" s="690"/>
      <c r="M6" s="549" t="s">
        <v>224</v>
      </c>
      <c r="N6" s="549" t="s">
        <v>231</v>
      </c>
      <c r="O6" s="524" t="s">
        <v>225</v>
      </c>
      <c r="P6" s="530"/>
      <c r="Q6" s="530" t="s">
        <v>233</v>
      </c>
      <c r="R6" s="530" t="s">
        <v>234</v>
      </c>
      <c r="S6" s="526" t="s">
        <v>232</v>
      </c>
      <c r="T6" s="554" t="s">
        <v>229</v>
      </c>
      <c r="U6" s="554" t="s">
        <v>230</v>
      </c>
    </row>
    <row r="7" spans="1:21" ht="15">
      <c r="A7" s="542">
        <v>1</v>
      </c>
      <c r="B7" s="543">
        <v>2</v>
      </c>
      <c r="C7" s="544">
        <v>3</v>
      </c>
      <c r="D7" s="544">
        <v>4</v>
      </c>
      <c r="E7" s="544">
        <v>5</v>
      </c>
      <c r="F7" s="545">
        <v>6</v>
      </c>
      <c r="G7" s="545">
        <v>7</v>
      </c>
      <c r="H7" s="544">
        <v>8</v>
      </c>
      <c r="I7" s="544">
        <v>9</v>
      </c>
      <c r="J7" s="548">
        <v>10</v>
      </c>
      <c r="K7" s="544">
        <v>11</v>
      </c>
      <c r="L7" s="544">
        <v>12</v>
      </c>
      <c r="M7" s="546">
        <v>13</v>
      </c>
      <c r="N7" s="546">
        <v>14</v>
      </c>
      <c r="O7" s="547">
        <v>15</v>
      </c>
      <c r="P7" s="326">
        <v>16</v>
      </c>
      <c r="Q7" s="326"/>
      <c r="R7" s="326"/>
      <c r="S7" s="551">
        <v>17</v>
      </c>
      <c r="T7" s="551">
        <v>18</v>
      </c>
      <c r="U7" s="551">
        <v>19</v>
      </c>
    </row>
    <row r="8" spans="1:21" s="333" customFormat="1" ht="27.75" customHeight="1">
      <c r="A8" s="327">
        <v>2021101</v>
      </c>
      <c r="B8" s="328" t="s">
        <v>5</v>
      </c>
      <c r="C8" s="329">
        <f t="shared" ref="C8:J8" si="0">SUM(C9:C16)</f>
        <v>650377324</v>
      </c>
      <c r="D8" s="329"/>
      <c r="E8" s="329">
        <f t="shared" si="0"/>
        <v>0</v>
      </c>
      <c r="F8" s="329">
        <f t="shared" si="0"/>
        <v>0</v>
      </c>
      <c r="G8" s="329">
        <f t="shared" si="0"/>
        <v>0</v>
      </c>
      <c r="H8" s="329">
        <f t="shared" si="0"/>
        <v>8000000</v>
      </c>
      <c r="I8" s="329">
        <f t="shared" si="0"/>
        <v>642377324</v>
      </c>
      <c r="J8" s="329">
        <f t="shared" si="0"/>
        <v>0</v>
      </c>
      <c r="K8" s="329">
        <f>SUM(K9:K16)</f>
        <v>35018214</v>
      </c>
      <c r="L8" s="330">
        <f t="shared" ref="L8:L18" si="1">M8/I8</f>
        <v>5.4513465360119091E-2</v>
      </c>
      <c r="M8" s="331">
        <f>J8+K8</f>
        <v>35018214</v>
      </c>
      <c r="N8" s="331"/>
      <c r="O8" s="329">
        <f>SUM(O9:O16)</f>
        <v>607359110</v>
      </c>
      <c r="P8" s="332">
        <f>O8/I8</f>
        <v>0.94548653463988086</v>
      </c>
      <c r="Q8" s="556"/>
      <c r="R8" s="556"/>
      <c r="S8" s="552">
        <f>SUM(S9:S16)</f>
        <v>35018214</v>
      </c>
      <c r="T8" s="552">
        <f>SUM(T9:T16)</f>
        <v>0</v>
      </c>
      <c r="U8" s="552">
        <f>SUM(U9:U16)</f>
        <v>0</v>
      </c>
    </row>
    <row r="9" spans="1:21" ht="15">
      <c r="A9" s="334">
        <v>202110101</v>
      </c>
      <c r="B9" s="335" t="s">
        <v>7</v>
      </c>
      <c r="C9" s="336">
        <f>'PAC INICIAL 2020'!C24</f>
        <v>488231324</v>
      </c>
      <c r="D9" s="541"/>
      <c r="E9" s="337"/>
      <c r="F9" s="338"/>
      <c r="G9" s="339"/>
      <c r="H9" s="340">
        <f>'LIBRO DE PRESUPUESTO'!H5</f>
        <v>8000000</v>
      </c>
      <c r="I9" s="341">
        <f>C9-E9+F9+G9-H9</f>
        <v>480231324</v>
      </c>
      <c r="J9" s="342"/>
      <c r="K9" s="4">
        <f>'LIBRO DE PRESUPUESTO'!J6</f>
        <v>34852488</v>
      </c>
      <c r="L9" s="343">
        <f t="shared" si="1"/>
        <v>7.2574374594523539E-2</v>
      </c>
      <c r="M9" s="344">
        <f>K9+J9</f>
        <v>34852488</v>
      </c>
      <c r="N9" s="522">
        <f t="shared" ref="N9:N16" si="2">J9+K9</f>
        <v>34852488</v>
      </c>
      <c r="O9" s="345">
        <f t="shared" ref="O9:O57" si="3">I9-M9</f>
        <v>445378836</v>
      </c>
      <c r="P9" s="346">
        <f>O9/I9</f>
        <v>0.92742562540547646</v>
      </c>
      <c r="Q9" s="346"/>
      <c r="R9" s="553">
        <f>N9</f>
        <v>34852488</v>
      </c>
      <c r="S9" s="553">
        <f>Q9+R9</f>
        <v>34852488</v>
      </c>
      <c r="T9" s="553">
        <f>N9-S9</f>
        <v>0</v>
      </c>
      <c r="U9" s="553">
        <f>M9-N9</f>
        <v>0</v>
      </c>
    </row>
    <row r="10" spans="1:21" ht="15">
      <c r="A10" s="334">
        <v>202110103</v>
      </c>
      <c r="B10" s="335" t="s">
        <v>11</v>
      </c>
      <c r="C10" s="336">
        <f>'PAC INICIAL 2020'!C25</f>
        <v>1246000</v>
      </c>
      <c r="D10" s="541"/>
      <c r="E10" s="337"/>
      <c r="F10" s="338"/>
      <c r="G10" s="339"/>
      <c r="H10" s="347"/>
      <c r="I10" s="341">
        <f t="shared" ref="I10:I16" si="4">C10-E10+F10+G10-H10</f>
        <v>1246000</v>
      </c>
      <c r="J10" s="342"/>
      <c r="K10" s="342">
        <f>'LIBRO DE PRESUPUESTO'!J35</f>
        <v>102854</v>
      </c>
      <c r="L10" s="343">
        <f t="shared" si="1"/>
        <v>8.2547351524879617E-2</v>
      </c>
      <c r="M10" s="344">
        <f>K10+J10</f>
        <v>102854</v>
      </c>
      <c r="N10" s="522">
        <f t="shared" si="2"/>
        <v>102854</v>
      </c>
      <c r="O10" s="345">
        <f t="shared" si="3"/>
        <v>1143146</v>
      </c>
      <c r="P10" s="346">
        <f t="shared" ref="P10:P18" si="5">O10/I10</f>
        <v>0.91745264847512042</v>
      </c>
      <c r="Q10" s="346"/>
      <c r="R10" s="553">
        <f t="shared" ref="R10:R15" si="6">N10</f>
        <v>102854</v>
      </c>
      <c r="S10" s="553">
        <f t="shared" ref="S10:S16" si="7">Q10+R10</f>
        <v>102854</v>
      </c>
      <c r="T10" s="553">
        <f t="shared" ref="T10:T16" si="8">N10-S10</f>
        <v>0</v>
      </c>
      <c r="U10" s="553">
        <f t="shared" ref="U10:U16" si="9">M10-N10</f>
        <v>0</v>
      </c>
    </row>
    <row r="11" spans="1:21" ht="15.75" customHeight="1">
      <c r="A11" s="334">
        <v>202110104</v>
      </c>
      <c r="B11" s="335" t="s">
        <v>13</v>
      </c>
      <c r="C11" s="336">
        <f>'PAC INICIAL 2020'!C26</f>
        <v>900000</v>
      </c>
      <c r="D11" s="541"/>
      <c r="E11" s="337"/>
      <c r="F11" s="338"/>
      <c r="G11" s="339"/>
      <c r="H11" s="347"/>
      <c r="I11" s="341">
        <f t="shared" si="4"/>
        <v>900000</v>
      </c>
      <c r="J11" s="342"/>
      <c r="K11" s="342">
        <f>'LIBRO DE PRESUPUESTO'!J51</f>
        <v>62872</v>
      </c>
      <c r="L11" s="343">
        <f t="shared" si="1"/>
        <v>6.9857777777777783E-2</v>
      </c>
      <c r="M11" s="344">
        <f>K11+J11</f>
        <v>62872</v>
      </c>
      <c r="N11" s="522">
        <f t="shared" si="2"/>
        <v>62872</v>
      </c>
      <c r="O11" s="345">
        <f t="shared" si="3"/>
        <v>837128</v>
      </c>
      <c r="P11" s="346">
        <f t="shared" si="5"/>
        <v>0.9301422222222222</v>
      </c>
      <c r="Q11" s="346"/>
      <c r="R11" s="553">
        <f t="shared" si="6"/>
        <v>62872</v>
      </c>
      <c r="S11" s="553">
        <f t="shared" si="7"/>
        <v>62872</v>
      </c>
      <c r="T11" s="553">
        <f>N11-S11</f>
        <v>0</v>
      </c>
      <c r="U11" s="553">
        <f>M11-N11</f>
        <v>0</v>
      </c>
    </row>
    <row r="12" spans="1:21" ht="15">
      <c r="A12" s="334">
        <v>202110105</v>
      </c>
      <c r="B12" s="335" t="s">
        <v>15</v>
      </c>
      <c r="C12" s="336">
        <f>'PAC INICIAL 2020'!C27</f>
        <v>17000000</v>
      </c>
      <c r="D12" s="541"/>
      <c r="E12" s="337"/>
      <c r="F12" s="338"/>
      <c r="G12" s="339"/>
      <c r="H12" s="347"/>
      <c r="I12" s="341">
        <f t="shared" si="4"/>
        <v>17000000</v>
      </c>
      <c r="J12" s="342"/>
      <c r="K12" s="4"/>
      <c r="L12" s="343">
        <f t="shared" si="1"/>
        <v>0</v>
      </c>
      <c r="M12" s="344">
        <v>0</v>
      </c>
      <c r="N12" s="522">
        <f t="shared" si="2"/>
        <v>0</v>
      </c>
      <c r="O12" s="345">
        <f t="shared" si="3"/>
        <v>17000000</v>
      </c>
      <c r="P12" s="346">
        <f t="shared" si="5"/>
        <v>1</v>
      </c>
      <c r="Q12" s="346"/>
      <c r="R12" s="553">
        <f t="shared" si="6"/>
        <v>0</v>
      </c>
      <c r="S12" s="553">
        <f t="shared" si="7"/>
        <v>0</v>
      </c>
      <c r="T12" s="553">
        <f t="shared" si="8"/>
        <v>0</v>
      </c>
      <c r="U12" s="553">
        <f t="shared" si="9"/>
        <v>0</v>
      </c>
    </row>
    <row r="13" spans="1:21" ht="15">
      <c r="A13" s="334">
        <v>202110106</v>
      </c>
      <c r="B13" s="335" t="s">
        <v>17</v>
      </c>
      <c r="C13" s="336">
        <f>'PAC INICIAL 2020'!C28</f>
        <v>24000000</v>
      </c>
      <c r="D13" s="541"/>
      <c r="E13" s="337"/>
      <c r="F13" s="338"/>
      <c r="G13" s="339"/>
      <c r="H13" s="347"/>
      <c r="I13" s="341">
        <f t="shared" si="4"/>
        <v>24000000</v>
      </c>
      <c r="J13" s="342"/>
      <c r="K13" s="4"/>
      <c r="L13" s="343">
        <f t="shared" si="1"/>
        <v>0</v>
      </c>
      <c r="M13" s="344">
        <v>0</v>
      </c>
      <c r="N13" s="522">
        <f t="shared" si="2"/>
        <v>0</v>
      </c>
      <c r="O13" s="345">
        <f t="shared" si="3"/>
        <v>24000000</v>
      </c>
      <c r="P13" s="346">
        <f t="shared" si="5"/>
        <v>1</v>
      </c>
      <c r="Q13" s="346"/>
      <c r="R13" s="553">
        <f t="shared" si="6"/>
        <v>0</v>
      </c>
      <c r="S13" s="553">
        <f t="shared" si="7"/>
        <v>0</v>
      </c>
      <c r="T13" s="553">
        <f t="shared" si="8"/>
        <v>0</v>
      </c>
      <c r="U13" s="553">
        <f t="shared" si="9"/>
        <v>0</v>
      </c>
    </row>
    <row r="14" spans="1:21" ht="15">
      <c r="A14" s="334">
        <v>202110107</v>
      </c>
      <c r="B14" s="335" t="s">
        <v>19</v>
      </c>
      <c r="C14" s="336">
        <f>'PAC INICIAL 2020'!C29</f>
        <v>28000000</v>
      </c>
      <c r="D14" s="541"/>
      <c r="E14" s="337"/>
      <c r="F14" s="338"/>
      <c r="G14" s="339"/>
      <c r="H14" s="347"/>
      <c r="I14" s="341">
        <f t="shared" si="4"/>
        <v>28000000</v>
      </c>
      <c r="J14" s="342"/>
      <c r="K14" s="4"/>
      <c r="L14" s="343">
        <f t="shared" si="1"/>
        <v>0</v>
      </c>
      <c r="M14" s="344">
        <v>0</v>
      </c>
      <c r="N14" s="522">
        <f t="shared" si="2"/>
        <v>0</v>
      </c>
      <c r="O14" s="345">
        <f t="shared" si="3"/>
        <v>28000000</v>
      </c>
      <c r="P14" s="346">
        <f t="shared" si="5"/>
        <v>1</v>
      </c>
      <c r="Q14" s="346"/>
      <c r="R14" s="553">
        <f t="shared" si="6"/>
        <v>0</v>
      </c>
      <c r="S14" s="553">
        <f t="shared" si="7"/>
        <v>0</v>
      </c>
      <c r="T14" s="553">
        <f t="shared" si="8"/>
        <v>0</v>
      </c>
      <c r="U14" s="553">
        <f t="shared" si="9"/>
        <v>0</v>
      </c>
    </row>
    <row r="15" spans="1:21" ht="15">
      <c r="A15" s="334">
        <v>202110109</v>
      </c>
      <c r="B15" s="335" t="s">
        <v>20</v>
      </c>
      <c r="C15" s="336">
        <f>'PAC INICIAL 2020'!C30</f>
        <v>36000000</v>
      </c>
      <c r="D15" s="541"/>
      <c r="E15" s="337"/>
      <c r="F15" s="338"/>
      <c r="G15" s="339"/>
      <c r="H15" s="347"/>
      <c r="I15" s="341">
        <f t="shared" si="4"/>
        <v>36000000</v>
      </c>
      <c r="J15" s="342"/>
      <c r="K15" s="4"/>
      <c r="L15" s="343">
        <f t="shared" si="1"/>
        <v>0</v>
      </c>
      <c r="M15" s="344">
        <f>K15+J15</f>
        <v>0</v>
      </c>
      <c r="N15" s="522">
        <f t="shared" si="2"/>
        <v>0</v>
      </c>
      <c r="O15" s="345">
        <f t="shared" si="3"/>
        <v>36000000</v>
      </c>
      <c r="P15" s="346">
        <f t="shared" si="5"/>
        <v>1</v>
      </c>
      <c r="Q15" s="346"/>
      <c r="R15" s="553">
        <f t="shared" si="6"/>
        <v>0</v>
      </c>
      <c r="S15" s="553">
        <f t="shared" si="7"/>
        <v>0</v>
      </c>
      <c r="T15" s="553">
        <f t="shared" si="8"/>
        <v>0</v>
      </c>
      <c r="U15" s="553">
        <f t="shared" si="9"/>
        <v>0</v>
      </c>
    </row>
    <row r="16" spans="1:21" ht="15">
      <c r="A16" s="334">
        <v>202110108</v>
      </c>
      <c r="B16" s="335" t="s">
        <v>21</v>
      </c>
      <c r="C16" s="336">
        <f>'PAC INICIAL 2020'!C31</f>
        <v>55000000</v>
      </c>
      <c r="D16" s="541"/>
      <c r="E16" s="337"/>
      <c r="F16" s="338"/>
      <c r="G16" s="339"/>
      <c r="H16" s="347"/>
      <c r="I16" s="341">
        <f t="shared" si="4"/>
        <v>55000000</v>
      </c>
      <c r="J16" s="342"/>
      <c r="K16" s="4">
        <v>0</v>
      </c>
      <c r="L16" s="343">
        <f t="shared" si="1"/>
        <v>0</v>
      </c>
      <c r="M16" s="344">
        <f t="shared" ref="M16:M56" si="10">K16+J16</f>
        <v>0</v>
      </c>
      <c r="N16" s="522">
        <f t="shared" si="2"/>
        <v>0</v>
      </c>
      <c r="O16" s="345">
        <f t="shared" si="3"/>
        <v>55000000</v>
      </c>
      <c r="P16" s="346">
        <f t="shared" si="5"/>
        <v>1</v>
      </c>
      <c r="Q16" s="346"/>
      <c r="R16" s="346"/>
      <c r="S16" s="553">
        <f t="shared" si="7"/>
        <v>0</v>
      </c>
      <c r="T16" s="553">
        <f t="shared" si="8"/>
        <v>0</v>
      </c>
      <c r="U16" s="553">
        <f t="shared" si="9"/>
        <v>0</v>
      </c>
    </row>
    <row r="17" spans="1:21" s="349" customFormat="1" ht="27.75" customHeight="1">
      <c r="A17" s="327">
        <v>2021102</v>
      </c>
      <c r="B17" s="328" t="s">
        <v>23</v>
      </c>
      <c r="C17" s="329">
        <f t="shared" ref="C17:K17" si="11">SUM(C18:C20)</f>
        <v>20000000</v>
      </c>
      <c r="D17" s="329"/>
      <c r="E17" s="329">
        <f t="shared" si="11"/>
        <v>0</v>
      </c>
      <c r="F17" s="329">
        <f t="shared" si="11"/>
        <v>0</v>
      </c>
      <c r="G17" s="329">
        <f t="shared" si="11"/>
        <v>44000000</v>
      </c>
      <c r="H17" s="329">
        <f t="shared" si="11"/>
        <v>0</v>
      </c>
      <c r="I17" s="329">
        <f t="shared" si="11"/>
        <v>64000000</v>
      </c>
      <c r="J17" s="329">
        <f t="shared" si="11"/>
        <v>0</v>
      </c>
      <c r="K17" s="329">
        <f t="shared" si="11"/>
        <v>13000000</v>
      </c>
      <c r="L17" s="330">
        <f t="shared" si="1"/>
        <v>0.203125</v>
      </c>
      <c r="M17" s="348">
        <f t="shared" si="10"/>
        <v>13000000</v>
      </c>
      <c r="N17" s="348"/>
      <c r="O17" s="348">
        <f>SUM(O18:O20)</f>
        <v>51000000</v>
      </c>
      <c r="P17" s="332">
        <f t="shared" si="5"/>
        <v>0.796875</v>
      </c>
      <c r="Q17" s="332"/>
      <c r="R17" s="332"/>
      <c r="S17" s="332"/>
      <c r="T17" s="332"/>
      <c r="U17" s="332"/>
    </row>
    <row r="18" spans="1:21" ht="15">
      <c r="A18" s="334">
        <v>202110201</v>
      </c>
      <c r="B18" s="350" t="s">
        <v>25</v>
      </c>
      <c r="C18" s="336">
        <f>'PAC INICIAL 2020'!C33</f>
        <v>20000000</v>
      </c>
      <c r="D18" s="336"/>
      <c r="E18" s="342"/>
      <c r="F18" s="338"/>
      <c r="G18" s="339">
        <f>'LIBRO DE PRESUPUESTO'!G161</f>
        <v>36000000</v>
      </c>
      <c r="H18" s="347"/>
      <c r="I18" s="341">
        <f>C18-E18+F18+G18-H18</f>
        <v>56000000</v>
      </c>
      <c r="J18" s="342"/>
      <c r="K18" s="342">
        <f>'LIBRO DE PRESUPUESTO'!J160</f>
        <v>5000000</v>
      </c>
      <c r="L18" s="343">
        <f t="shared" si="1"/>
        <v>8.9285714285714288E-2</v>
      </c>
      <c r="M18" s="344">
        <f t="shared" si="10"/>
        <v>5000000</v>
      </c>
      <c r="N18" s="522">
        <f>J18+K18</f>
        <v>5000000</v>
      </c>
      <c r="O18" s="345">
        <f t="shared" si="3"/>
        <v>51000000</v>
      </c>
      <c r="P18" s="346">
        <f t="shared" si="5"/>
        <v>0.9107142857142857</v>
      </c>
      <c r="Q18" s="346"/>
      <c r="R18" s="553"/>
      <c r="S18" s="553">
        <v>0</v>
      </c>
      <c r="T18" s="553">
        <f>N18-S18</f>
        <v>5000000</v>
      </c>
      <c r="U18" s="553">
        <f>M18-N18</f>
        <v>0</v>
      </c>
    </row>
    <row r="19" spans="1:21" ht="15">
      <c r="A19" s="334">
        <v>202110202</v>
      </c>
      <c r="B19" s="335" t="s">
        <v>27</v>
      </c>
      <c r="C19" s="336">
        <f>'PAC INICIAL 2020'!C34</f>
        <v>0</v>
      </c>
      <c r="D19" s="336"/>
      <c r="E19" s="342"/>
      <c r="F19" s="338"/>
      <c r="G19" s="339">
        <f>'LIBRO DE PRESUPUESTO'!G176</f>
        <v>8000000</v>
      </c>
      <c r="H19" s="347"/>
      <c r="I19" s="341">
        <f>C19-E19+F19+G19-H19</f>
        <v>8000000</v>
      </c>
      <c r="J19" s="342"/>
      <c r="K19" s="342">
        <f>'LIBRO DE PRESUPUESTO'!J177</f>
        <v>8000000</v>
      </c>
      <c r="L19" s="343">
        <v>0</v>
      </c>
      <c r="M19" s="344">
        <f t="shared" si="10"/>
        <v>8000000</v>
      </c>
      <c r="N19" s="522">
        <f>J19+K19</f>
        <v>8000000</v>
      </c>
      <c r="O19" s="345">
        <f t="shared" si="3"/>
        <v>0</v>
      </c>
      <c r="P19" s="346">
        <v>0</v>
      </c>
      <c r="Q19" s="346"/>
      <c r="R19" s="346"/>
      <c r="S19" s="553">
        <v>0</v>
      </c>
      <c r="T19" s="553">
        <f>N19-S19</f>
        <v>8000000</v>
      </c>
      <c r="U19" s="553">
        <f>M19-N19</f>
        <v>0</v>
      </c>
    </row>
    <row r="20" spans="1:21" ht="15">
      <c r="A20" s="334">
        <v>202110203</v>
      </c>
      <c r="B20" s="351" t="s">
        <v>29</v>
      </c>
      <c r="C20" s="336">
        <f>'PAC INICIAL 2020'!C35</f>
        <v>0</v>
      </c>
      <c r="D20" s="336"/>
      <c r="E20" s="342"/>
      <c r="F20" s="338"/>
      <c r="G20" s="339"/>
      <c r="H20" s="347"/>
      <c r="I20" s="341">
        <f>C20-E20+F20+G20-H20</f>
        <v>0</v>
      </c>
      <c r="J20" s="342"/>
      <c r="K20" s="2"/>
      <c r="L20" s="343">
        <v>0</v>
      </c>
      <c r="M20" s="344">
        <f t="shared" si="10"/>
        <v>0</v>
      </c>
      <c r="N20" s="522">
        <f>J20+K20</f>
        <v>0</v>
      </c>
      <c r="O20" s="345">
        <f t="shared" si="3"/>
        <v>0</v>
      </c>
      <c r="P20" s="346">
        <v>0</v>
      </c>
      <c r="Q20" s="346"/>
      <c r="R20" s="346"/>
      <c r="S20" s="553">
        <f>K20</f>
        <v>0</v>
      </c>
      <c r="T20" s="553">
        <f>N20-S20</f>
        <v>0</v>
      </c>
      <c r="U20" s="553">
        <f>M20-N20</f>
        <v>0</v>
      </c>
    </row>
    <row r="21" spans="1:21" ht="30">
      <c r="A21" s="327">
        <v>2021103</v>
      </c>
      <c r="B21" s="359" t="s">
        <v>69</v>
      </c>
      <c r="C21" s="360">
        <f>SUM(C22:C25)</f>
        <v>83629741</v>
      </c>
      <c r="D21" s="360"/>
      <c r="E21" s="360">
        <f t="shared" ref="E21:K21" si="12">SUM(E22:E25)</f>
        <v>0</v>
      </c>
      <c r="F21" s="360">
        <f t="shared" si="12"/>
        <v>0</v>
      </c>
      <c r="G21" s="360">
        <f t="shared" si="12"/>
        <v>0</v>
      </c>
      <c r="H21" s="360">
        <f t="shared" si="12"/>
        <v>0</v>
      </c>
      <c r="I21" s="360">
        <f>SUM(I22:I25)</f>
        <v>83629741</v>
      </c>
      <c r="J21" s="360">
        <f t="shared" si="12"/>
        <v>0</v>
      </c>
      <c r="K21" s="360">
        <f t="shared" si="12"/>
        <v>4233687</v>
      </c>
      <c r="L21" s="330">
        <f>M21/I21</f>
        <v>5.0624179261777216E-2</v>
      </c>
      <c r="M21" s="360">
        <f>SUM(M22:M25)</f>
        <v>4233687</v>
      </c>
      <c r="N21" s="360"/>
      <c r="O21" s="360">
        <f>SUM(O22:O25)</f>
        <v>79396054</v>
      </c>
      <c r="P21" s="332">
        <f t="shared" ref="P21:P27" si="13">O21/I21</f>
        <v>0.9493758207382228</v>
      </c>
      <c r="Q21" s="332"/>
      <c r="R21" s="332"/>
      <c r="S21" s="332"/>
      <c r="T21" s="332"/>
      <c r="U21" s="332"/>
    </row>
    <row r="22" spans="1:21" ht="15">
      <c r="A22" s="334">
        <v>202110301</v>
      </c>
      <c r="B22" s="351" t="s">
        <v>71</v>
      </c>
      <c r="C22" s="336">
        <f>'PAC INICIAL 2020'!C60</f>
        <v>16000083</v>
      </c>
      <c r="D22" s="541"/>
      <c r="E22" s="337"/>
      <c r="F22" s="338"/>
      <c r="G22" s="339"/>
      <c r="H22" s="347"/>
      <c r="I22" s="341">
        <f>C22-E22+F22+G22-H22</f>
        <v>16000083</v>
      </c>
      <c r="J22" s="342"/>
      <c r="K22" s="5"/>
      <c r="L22" s="343">
        <f t="shared" ref="L22:L35" si="14">M22/I22</f>
        <v>0</v>
      </c>
      <c r="M22" s="344">
        <f>K22+J22</f>
        <v>0</v>
      </c>
      <c r="N22" s="522">
        <f>J22+K22</f>
        <v>0</v>
      </c>
      <c r="O22" s="345">
        <f>I22-M22</f>
        <v>16000083</v>
      </c>
      <c r="P22" s="346">
        <f t="shared" si="13"/>
        <v>1</v>
      </c>
      <c r="Q22" s="346"/>
      <c r="R22" s="346"/>
      <c r="S22" s="553">
        <f>Q22+R22</f>
        <v>0</v>
      </c>
      <c r="T22" s="553">
        <f>N22-S22</f>
        <v>0</v>
      </c>
      <c r="U22" s="553">
        <f>M22-N22</f>
        <v>0</v>
      </c>
    </row>
    <row r="23" spans="1:21" ht="15">
      <c r="A23" s="334">
        <v>202110302</v>
      </c>
      <c r="B23" s="351" t="s">
        <v>73</v>
      </c>
      <c r="C23" s="336">
        <f>'PAC INICIAL 2020'!C61</f>
        <v>46429658</v>
      </c>
      <c r="D23" s="541"/>
      <c r="E23" s="337"/>
      <c r="F23" s="338"/>
      <c r="G23" s="339"/>
      <c r="H23" s="347"/>
      <c r="I23" s="341">
        <f>C23-E23+F23+G23-H23</f>
        <v>46429658</v>
      </c>
      <c r="J23" s="342"/>
      <c r="K23" s="4">
        <f>'LIBRO DE PRESUPUESTO'!J572</f>
        <v>3091802</v>
      </c>
      <c r="L23" s="343">
        <f t="shared" si="14"/>
        <v>6.6591100024902192E-2</v>
      </c>
      <c r="M23" s="344">
        <f>K23+J23</f>
        <v>3091802</v>
      </c>
      <c r="N23" s="522">
        <f>J23+K23</f>
        <v>3091802</v>
      </c>
      <c r="O23" s="345">
        <f>I23-M23</f>
        <v>43337856</v>
      </c>
      <c r="P23" s="346">
        <f t="shared" si="13"/>
        <v>0.93340889997509779</v>
      </c>
      <c r="Q23" s="346"/>
      <c r="R23" s="553">
        <f>N23</f>
        <v>3091802</v>
      </c>
      <c r="S23" s="553">
        <f>Q23+R23</f>
        <v>3091802</v>
      </c>
      <c r="T23" s="553">
        <f>N23-S23</f>
        <v>0</v>
      </c>
      <c r="U23" s="553">
        <f>M23-N23</f>
        <v>0</v>
      </c>
    </row>
    <row r="24" spans="1:21" ht="15">
      <c r="A24" s="334">
        <v>202110304</v>
      </c>
      <c r="B24" s="351" t="s">
        <v>74</v>
      </c>
      <c r="C24" s="336">
        <f>'PAC INICIAL 2020'!C62</f>
        <v>14000000</v>
      </c>
      <c r="D24" s="541"/>
      <c r="E24" s="337"/>
      <c r="F24" s="338"/>
      <c r="G24" s="339"/>
      <c r="H24" s="347"/>
      <c r="I24" s="341">
        <f>C24-E24+F24+G24-H24</f>
        <v>14000000</v>
      </c>
      <c r="J24" s="342"/>
      <c r="K24" s="4">
        <f>'LIBRO DE PRESUPUESTO'!J587</f>
        <v>1141885</v>
      </c>
      <c r="L24" s="343">
        <f t="shared" si="14"/>
        <v>8.1563214285714281E-2</v>
      </c>
      <c r="M24" s="344">
        <f>K24+J24</f>
        <v>1141885</v>
      </c>
      <c r="N24" s="522">
        <f>J24+K24</f>
        <v>1141885</v>
      </c>
      <c r="O24" s="345">
        <f>I24-M24</f>
        <v>12858115</v>
      </c>
      <c r="P24" s="346">
        <f t="shared" si="13"/>
        <v>0.91843678571428566</v>
      </c>
      <c r="Q24" s="346"/>
      <c r="R24" s="553">
        <f>N24</f>
        <v>1141885</v>
      </c>
      <c r="S24" s="553">
        <f>Q24+R24</f>
        <v>1141885</v>
      </c>
      <c r="T24" s="553">
        <f>N24-S24</f>
        <v>0</v>
      </c>
      <c r="U24" s="553">
        <f>M24-N24</f>
        <v>0</v>
      </c>
    </row>
    <row r="25" spans="1:21" ht="15">
      <c r="A25" s="334">
        <v>202110305</v>
      </c>
      <c r="B25" s="351" t="s">
        <v>75</v>
      </c>
      <c r="C25" s="336">
        <f>'PAC INICIAL 2020'!C63</f>
        <v>7200000</v>
      </c>
      <c r="D25" s="541"/>
      <c r="E25" s="362"/>
      <c r="F25" s="338"/>
      <c r="G25" s="339"/>
      <c r="H25" s="363"/>
      <c r="I25" s="341">
        <f>C25-E25+F25+G25-H25</f>
        <v>7200000</v>
      </c>
      <c r="J25" s="342"/>
      <c r="K25" s="341">
        <v>0</v>
      </c>
      <c r="L25" s="343">
        <f t="shared" si="14"/>
        <v>0</v>
      </c>
      <c r="M25" s="344">
        <f>K25+J25</f>
        <v>0</v>
      </c>
      <c r="N25" s="522">
        <f>J25+K25</f>
        <v>0</v>
      </c>
      <c r="O25" s="345">
        <f>I25-M25</f>
        <v>7200000</v>
      </c>
      <c r="P25" s="346">
        <f t="shared" si="13"/>
        <v>1</v>
      </c>
      <c r="Q25" s="346"/>
      <c r="R25" s="346"/>
      <c r="S25" s="553">
        <f>Q25+R25</f>
        <v>0</v>
      </c>
      <c r="T25" s="553">
        <f>N25-S25</f>
        <v>0</v>
      </c>
      <c r="U25" s="553">
        <f>M25-N25</f>
        <v>0</v>
      </c>
    </row>
    <row r="26" spans="1:21" ht="15.75">
      <c r="A26" s="327">
        <v>2021104</v>
      </c>
      <c r="B26" s="364" t="s">
        <v>76</v>
      </c>
      <c r="C26" s="360">
        <f t="shared" ref="C26:K26" si="15">SUM(C27:C36)</f>
        <v>177100000</v>
      </c>
      <c r="D26" s="360"/>
      <c r="E26" s="360">
        <f t="shared" si="15"/>
        <v>0</v>
      </c>
      <c r="F26" s="360">
        <f t="shared" si="15"/>
        <v>0</v>
      </c>
      <c r="G26" s="360">
        <f t="shared" si="15"/>
        <v>0</v>
      </c>
      <c r="H26" s="360">
        <f t="shared" si="15"/>
        <v>46000000</v>
      </c>
      <c r="I26" s="360">
        <f>SUM(I27:I36)</f>
        <v>131100000</v>
      </c>
      <c r="J26" s="329">
        <f t="shared" si="15"/>
        <v>0</v>
      </c>
      <c r="K26" s="329">
        <f t="shared" si="15"/>
        <v>6544704</v>
      </c>
      <c r="L26" s="330">
        <f>M26/I26</f>
        <v>4.9921464530892447E-2</v>
      </c>
      <c r="M26" s="331">
        <f>SUM(M27:M36)</f>
        <v>6544704</v>
      </c>
      <c r="N26" s="555"/>
      <c r="O26" s="348">
        <f>SUM(O27:O36)</f>
        <v>124555296</v>
      </c>
      <c r="P26" s="332">
        <f t="shared" si="13"/>
        <v>0.95007853546910759</v>
      </c>
      <c r="Q26" s="332"/>
      <c r="R26" s="332"/>
      <c r="S26" s="332"/>
      <c r="T26" s="332"/>
      <c r="U26" s="332"/>
    </row>
    <row r="27" spans="1:21" ht="15">
      <c r="A27" s="365">
        <v>202110401</v>
      </c>
      <c r="B27" s="351" t="s">
        <v>78</v>
      </c>
      <c r="C27" s="336">
        <f>'PAC INICIAL 2020'!C65</f>
        <v>56000000</v>
      </c>
      <c r="D27" s="541"/>
      <c r="E27" s="337"/>
      <c r="F27" s="338"/>
      <c r="G27" s="339"/>
      <c r="H27" s="347">
        <f>'LIBRO DE PRESUPUESTO'!H615</f>
        <v>46000000</v>
      </c>
      <c r="I27" s="341">
        <f t="shared" ref="I27:I36" si="16">C27-E27+F27+G27-H27</f>
        <v>10000000</v>
      </c>
      <c r="J27" s="342"/>
      <c r="K27" s="2">
        <v>0</v>
      </c>
      <c r="L27" s="343">
        <f t="shared" si="14"/>
        <v>0</v>
      </c>
      <c r="M27" s="344">
        <f>K27+J27</f>
        <v>0</v>
      </c>
      <c r="N27" s="522">
        <f>J27+K27</f>
        <v>0</v>
      </c>
      <c r="O27" s="345">
        <f t="shared" ref="O27:O36" si="17">I27-M27</f>
        <v>10000000</v>
      </c>
      <c r="P27" s="346">
        <f t="shared" si="13"/>
        <v>1</v>
      </c>
      <c r="Q27" s="346"/>
      <c r="R27" s="553">
        <f>K27</f>
        <v>0</v>
      </c>
      <c r="S27" s="553">
        <f>Q27+R27</f>
        <v>0</v>
      </c>
      <c r="T27" s="553">
        <f>N27-S27</f>
        <v>0</v>
      </c>
      <c r="U27" s="553">
        <f>M27-N27</f>
        <v>0</v>
      </c>
    </row>
    <row r="28" spans="1:21" ht="15">
      <c r="A28" s="334">
        <v>202110402</v>
      </c>
      <c r="B28" s="351" t="s">
        <v>73</v>
      </c>
      <c r="C28" s="336">
        <f>'PAC INICIAL 2020'!C66</f>
        <v>0</v>
      </c>
      <c r="D28" s="541"/>
      <c r="E28" s="337"/>
      <c r="F28" s="338"/>
      <c r="G28" s="339"/>
      <c r="H28" s="347"/>
      <c r="I28" s="341">
        <f t="shared" si="16"/>
        <v>0</v>
      </c>
      <c r="J28" s="342"/>
      <c r="K28" s="342"/>
      <c r="L28" s="343">
        <v>0</v>
      </c>
      <c r="M28" s="353">
        <f t="shared" ref="M28:M36" si="18">K28+J28</f>
        <v>0</v>
      </c>
      <c r="N28" s="522">
        <f t="shared" ref="N28:N36" si="19">J28+K28</f>
        <v>0</v>
      </c>
      <c r="O28" s="345">
        <f t="shared" si="17"/>
        <v>0</v>
      </c>
      <c r="P28" s="346">
        <v>0</v>
      </c>
      <c r="Q28" s="346"/>
      <c r="R28" s="553">
        <f t="shared" ref="R28:R36" si="20">K28</f>
        <v>0</v>
      </c>
      <c r="S28" s="553">
        <f t="shared" ref="S28:S36" si="21">Q28+R28</f>
        <v>0</v>
      </c>
      <c r="T28" s="553">
        <f t="shared" ref="T28:T36" si="22">N28-S28</f>
        <v>0</v>
      </c>
      <c r="U28" s="553">
        <f t="shared" ref="U28:U36" si="23">M28-N28</f>
        <v>0</v>
      </c>
    </row>
    <row r="29" spans="1:21" ht="15">
      <c r="A29" s="334">
        <v>202110403</v>
      </c>
      <c r="B29" s="351" t="s">
        <v>81</v>
      </c>
      <c r="C29" s="336">
        <f>'PAC INICIAL 2020'!C67</f>
        <v>3900000</v>
      </c>
      <c r="D29" s="541"/>
      <c r="E29" s="337"/>
      <c r="F29" s="338"/>
      <c r="G29" s="339"/>
      <c r="H29" s="347"/>
      <c r="I29" s="341">
        <f t="shared" si="16"/>
        <v>3900000</v>
      </c>
      <c r="J29" s="342"/>
      <c r="K29" s="4">
        <f>'LIBRO DE PRESUPUESTO'!J632</f>
        <v>182400</v>
      </c>
      <c r="L29" s="343">
        <f t="shared" si="14"/>
        <v>4.6769230769230771E-2</v>
      </c>
      <c r="M29" s="344">
        <f t="shared" si="18"/>
        <v>182400</v>
      </c>
      <c r="N29" s="522">
        <f t="shared" si="19"/>
        <v>182400</v>
      </c>
      <c r="O29" s="345">
        <f t="shared" si="17"/>
        <v>3717600</v>
      </c>
      <c r="P29" s="346">
        <f t="shared" ref="P29:P35" si="24">O29/I29</f>
        <v>0.95323076923076921</v>
      </c>
      <c r="Q29" s="346"/>
      <c r="R29" s="553">
        <f t="shared" si="20"/>
        <v>182400</v>
      </c>
      <c r="S29" s="553">
        <f t="shared" si="21"/>
        <v>182400</v>
      </c>
      <c r="T29" s="553">
        <f t="shared" si="22"/>
        <v>0</v>
      </c>
      <c r="U29" s="553">
        <f t="shared" si="23"/>
        <v>0</v>
      </c>
    </row>
    <row r="30" spans="1:21" ht="15">
      <c r="A30" s="334">
        <v>202110404</v>
      </c>
      <c r="B30" s="351" t="s">
        <v>74</v>
      </c>
      <c r="C30" s="336">
        <f>'PAC INICIAL 2020'!C68</f>
        <v>52000000</v>
      </c>
      <c r="D30" s="541"/>
      <c r="E30" s="337"/>
      <c r="F30" s="338"/>
      <c r="G30" s="339"/>
      <c r="H30" s="347"/>
      <c r="I30" s="341">
        <f t="shared" si="16"/>
        <v>52000000</v>
      </c>
      <c r="J30" s="342"/>
      <c r="K30" s="366">
        <f>'LIBRO DE PRESUPUESTO'!J648</f>
        <v>3223204</v>
      </c>
      <c r="L30" s="343">
        <f t="shared" si="14"/>
        <v>6.198469230769231E-2</v>
      </c>
      <c r="M30" s="344">
        <f t="shared" si="18"/>
        <v>3223204</v>
      </c>
      <c r="N30" s="522">
        <f t="shared" si="19"/>
        <v>3223204</v>
      </c>
      <c r="O30" s="345">
        <f t="shared" si="17"/>
        <v>48776796</v>
      </c>
      <c r="P30" s="346">
        <f t="shared" si="24"/>
        <v>0.93801530769230768</v>
      </c>
      <c r="Q30" s="346"/>
      <c r="R30" s="553">
        <f t="shared" si="20"/>
        <v>3223204</v>
      </c>
      <c r="S30" s="553">
        <f t="shared" si="21"/>
        <v>3223204</v>
      </c>
      <c r="T30" s="553">
        <f t="shared" si="22"/>
        <v>0</v>
      </c>
      <c r="U30" s="553">
        <f t="shared" si="23"/>
        <v>0</v>
      </c>
    </row>
    <row r="31" spans="1:21" ht="15">
      <c r="A31" s="334">
        <v>202110405</v>
      </c>
      <c r="B31" s="351" t="s">
        <v>84</v>
      </c>
      <c r="C31" s="336">
        <f>'PAC INICIAL 2020'!C69</f>
        <v>27000000</v>
      </c>
      <c r="D31" s="541"/>
      <c r="E31" s="337"/>
      <c r="F31" s="338"/>
      <c r="G31" s="339"/>
      <c r="H31" s="347"/>
      <c r="I31" s="341">
        <f t="shared" si="16"/>
        <v>27000000</v>
      </c>
      <c r="J31" s="342"/>
      <c r="K31" s="4">
        <f>'LIBRO DE PRESUPUESTO'!J664</f>
        <v>1394700</v>
      </c>
      <c r="L31" s="343">
        <f t="shared" si="14"/>
        <v>5.1655555555555559E-2</v>
      </c>
      <c r="M31" s="344">
        <f t="shared" si="18"/>
        <v>1394700</v>
      </c>
      <c r="N31" s="522">
        <f t="shared" si="19"/>
        <v>1394700</v>
      </c>
      <c r="O31" s="345">
        <f t="shared" si="17"/>
        <v>25605300</v>
      </c>
      <c r="P31" s="346">
        <f t="shared" si="24"/>
        <v>0.94834444444444443</v>
      </c>
      <c r="Q31" s="346"/>
      <c r="R31" s="553">
        <f t="shared" si="20"/>
        <v>1394700</v>
      </c>
      <c r="S31" s="553">
        <f t="shared" si="21"/>
        <v>1394700</v>
      </c>
      <c r="T31" s="553">
        <f t="shared" si="22"/>
        <v>0</v>
      </c>
      <c r="U31" s="553">
        <f t="shared" si="23"/>
        <v>0</v>
      </c>
    </row>
    <row r="32" spans="1:21" ht="15">
      <c r="A32" s="334">
        <v>202110406</v>
      </c>
      <c r="B32" s="351" t="s">
        <v>86</v>
      </c>
      <c r="C32" s="336">
        <f>'PAC INICIAL 2020'!C70</f>
        <v>23000000</v>
      </c>
      <c r="D32" s="541"/>
      <c r="E32" s="337"/>
      <c r="F32" s="338"/>
      <c r="G32" s="339"/>
      <c r="H32" s="347"/>
      <c r="I32" s="341">
        <f t="shared" si="16"/>
        <v>23000000</v>
      </c>
      <c r="J32" s="342"/>
      <c r="K32" s="4">
        <f>'LIBRO DE PRESUPUESTO'!J680</f>
        <v>1045900</v>
      </c>
      <c r="L32" s="343">
        <f t="shared" si="14"/>
        <v>4.547391304347826E-2</v>
      </c>
      <c r="M32" s="344">
        <f t="shared" si="18"/>
        <v>1045900</v>
      </c>
      <c r="N32" s="522">
        <f t="shared" si="19"/>
        <v>1045900</v>
      </c>
      <c r="O32" s="345">
        <f t="shared" si="17"/>
        <v>21954100</v>
      </c>
      <c r="P32" s="346">
        <f t="shared" si="24"/>
        <v>0.95452608695652175</v>
      </c>
      <c r="Q32" s="346"/>
      <c r="R32" s="553">
        <f t="shared" si="20"/>
        <v>1045900</v>
      </c>
      <c r="S32" s="553">
        <f t="shared" si="21"/>
        <v>1045900</v>
      </c>
      <c r="T32" s="553">
        <f t="shared" si="22"/>
        <v>0</v>
      </c>
      <c r="U32" s="553">
        <f t="shared" si="23"/>
        <v>0</v>
      </c>
    </row>
    <row r="33" spans="1:21" ht="15">
      <c r="A33" s="334">
        <v>202110407</v>
      </c>
      <c r="B33" s="351" t="s">
        <v>88</v>
      </c>
      <c r="C33" s="336">
        <f>'PAC INICIAL 2020'!C71</f>
        <v>4000000</v>
      </c>
      <c r="D33" s="541"/>
      <c r="E33" s="337"/>
      <c r="F33" s="338"/>
      <c r="G33" s="339"/>
      <c r="H33" s="347"/>
      <c r="I33" s="341">
        <f t="shared" si="16"/>
        <v>4000000</v>
      </c>
      <c r="J33" s="342"/>
      <c r="K33" s="4">
        <f>'LIBRO DE PRESUPUESTO'!J696</f>
        <v>174800</v>
      </c>
      <c r="L33" s="343">
        <f t="shared" si="14"/>
        <v>4.3700000000000003E-2</v>
      </c>
      <c r="M33" s="344">
        <f t="shared" si="18"/>
        <v>174800</v>
      </c>
      <c r="N33" s="522">
        <f t="shared" si="19"/>
        <v>174800</v>
      </c>
      <c r="O33" s="345">
        <f t="shared" si="17"/>
        <v>3825200</v>
      </c>
      <c r="P33" s="346">
        <f t="shared" si="24"/>
        <v>0.95630000000000004</v>
      </c>
      <c r="Q33" s="346"/>
      <c r="R33" s="553">
        <f t="shared" si="20"/>
        <v>174800</v>
      </c>
      <c r="S33" s="553">
        <f t="shared" si="21"/>
        <v>174800</v>
      </c>
      <c r="T33" s="553">
        <f t="shared" si="22"/>
        <v>0</v>
      </c>
      <c r="U33" s="553">
        <f t="shared" si="23"/>
        <v>0</v>
      </c>
    </row>
    <row r="34" spans="1:21" ht="15">
      <c r="A34" s="334">
        <v>202110408</v>
      </c>
      <c r="B34" s="351" t="s">
        <v>90</v>
      </c>
      <c r="C34" s="336">
        <f>'PAC INICIAL 2020'!C72</f>
        <v>4000000</v>
      </c>
      <c r="D34" s="541"/>
      <c r="E34" s="337"/>
      <c r="F34" s="338"/>
      <c r="G34" s="339"/>
      <c r="H34" s="347"/>
      <c r="I34" s="341">
        <f t="shared" si="16"/>
        <v>4000000</v>
      </c>
      <c r="J34" s="342"/>
      <c r="K34" s="4">
        <f>'LIBRO DE PRESUPUESTO'!J711</f>
        <v>174800</v>
      </c>
      <c r="L34" s="343">
        <f t="shared" si="14"/>
        <v>4.3700000000000003E-2</v>
      </c>
      <c r="M34" s="344">
        <f t="shared" si="18"/>
        <v>174800</v>
      </c>
      <c r="N34" s="522">
        <f t="shared" si="19"/>
        <v>174800</v>
      </c>
      <c r="O34" s="345">
        <f t="shared" si="17"/>
        <v>3825200</v>
      </c>
      <c r="P34" s="346">
        <f t="shared" si="24"/>
        <v>0.95630000000000004</v>
      </c>
      <c r="Q34" s="346"/>
      <c r="R34" s="553">
        <f t="shared" si="20"/>
        <v>174800</v>
      </c>
      <c r="S34" s="553">
        <f t="shared" si="21"/>
        <v>174800</v>
      </c>
      <c r="T34" s="553">
        <f t="shared" si="22"/>
        <v>0</v>
      </c>
      <c r="U34" s="553">
        <f t="shared" si="23"/>
        <v>0</v>
      </c>
    </row>
    <row r="35" spans="1:21" ht="15">
      <c r="A35" s="334">
        <v>202110409</v>
      </c>
      <c r="B35" s="351" t="s">
        <v>92</v>
      </c>
      <c r="C35" s="336">
        <f>'PAC INICIAL 2020'!C73</f>
        <v>7200000</v>
      </c>
      <c r="D35" s="541"/>
      <c r="E35" s="337"/>
      <c r="F35" s="338"/>
      <c r="G35" s="339"/>
      <c r="H35" s="347"/>
      <c r="I35" s="341">
        <f>C35-E35+F35+G35-H35</f>
        <v>7200000</v>
      </c>
      <c r="J35" s="342"/>
      <c r="K35" s="4">
        <f>'LIBRO DE PRESUPUESTO'!J731</f>
        <v>348900</v>
      </c>
      <c r="L35" s="343">
        <f t="shared" si="14"/>
        <v>4.8458333333333332E-2</v>
      </c>
      <c r="M35" s="344">
        <f t="shared" si="18"/>
        <v>348900</v>
      </c>
      <c r="N35" s="522">
        <f t="shared" si="19"/>
        <v>348900</v>
      </c>
      <c r="O35" s="345">
        <f t="shared" si="17"/>
        <v>6851100</v>
      </c>
      <c r="P35" s="346">
        <f t="shared" si="24"/>
        <v>0.95154166666666662</v>
      </c>
      <c r="Q35" s="346"/>
      <c r="R35" s="553">
        <f t="shared" si="20"/>
        <v>348900</v>
      </c>
      <c r="S35" s="553">
        <f t="shared" si="21"/>
        <v>348900</v>
      </c>
      <c r="T35" s="553">
        <f t="shared" si="22"/>
        <v>0</v>
      </c>
      <c r="U35" s="553">
        <f t="shared" si="23"/>
        <v>0</v>
      </c>
    </row>
    <row r="36" spans="1:21" ht="15">
      <c r="A36" s="334">
        <v>202110410</v>
      </c>
      <c r="B36" s="351" t="s">
        <v>94</v>
      </c>
      <c r="C36" s="336">
        <f>'PAC INICIAL 2020'!C74</f>
        <v>0</v>
      </c>
      <c r="D36" s="336"/>
      <c r="E36" s="342"/>
      <c r="F36" s="338"/>
      <c r="G36" s="339"/>
      <c r="H36" s="347"/>
      <c r="I36" s="341">
        <f t="shared" si="16"/>
        <v>0</v>
      </c>
      <c r="J36" s="342"/>
      <c r="K36" s="342"/>
      <c r="L36" s="343">
        <v>0</v>
      </c>
      <c r="M36" s="353">
        <f t="shared" si="18"/>
        <v>0</v>
      </c>
      <c r="N36" s="522">
        <f t="shared" si="19"/>
        <v>0</v>
      </c>
      <c r="O36" s="345">
        <f t="shared" si="17"/>
        <v>0</v>
      </c>
      <c r="P36" s="346">
        <v>0</v>
      </c>
      <c r="Q36" s="346"/>
      <c r="R36" s="553">
        <f t="shared" si="20"/>
        <v>0</v>
      </c>
      <c r="S36" s="553">
        <f t="shared" si="21"/>
        <v>0</v>
      </c>
      <c r="T36" s="553">
        <f t="shared" si="22"/>
        <v>0</v>
      </c>
      <c r="U36" s="553">
        <f t="shared" si="23"/>
        <v>0</v>
      </c>
    </row>
    <row r="37" spans="1:21" s="349" customFormat="1" ht="27.75" customHeight="1">
      <c r="A37" s="327">
        <v>2021201</v>
      </c>
      <c r="B37" s="352" t="s">
        <v>31</v>
      </c>
      <c r="C37" s="329">
        <f t="shared" ref="C37:K37" si="25">SUM(C38:C41)</f>
        <v>21300000</v>
      </c>
      <c r="D37" s="329"/>
      <c r="E37" s="329">
        <f t="shared" si="25"/>
        <v>0</v>
      </c>
      <c r="F37" s="329">
        <f t="shared" si="25"/>
        <v>0</v>
      </c>
      <c r="G37" s="329">
        <f t="shared" si="25"/>
        <v>0</v>
      </c>
      <c r="H37" s="329">
        <f t="shared" si="25"/>
        <v>0</v>
      </c>
      <c r="I37" s="329">
        <f t="shared" si="25"/>
        <v>21300000</v>
      </c>
      <c r="J37" s="329">
        <f t="shared" si="25"/>
        <v>0</v>
      </c>
      <c r="K37" s="329">
        <f t="shared" si="25"/>
        <v>1799800</v>
      </c>
      <c r="L37" s="330">
        <f>M37/I37</f>
        <v>8.4497652582159619E-2</v>
      </c>
      <c r="M37" s="348">
        <f>K37+J37</f>
        <v>1799800</v>
      </c>
      <c r="N37" s="348"/>
      <c r="O37" s="329">
        <f>SUM(O38:O41)</f>
        <v>19500200</v>
      </c>
      <c r="P37" s="332">
        <f>O37/I37</f>
        <v>0.91550234741784042</v>
      </c>
      <c r="Q37" s="332"/>
      <c r="R37" s="332"/>
      <c r="S37" s="332"/>
      <c r="T37" s="332"/>
      <c r="U37" s="332"/>
    </row>
    <row r="38" spans="1:21" ht="15">
      <c r="A38" s="334">
        <v>202120101</v>
      </c>
      <c r="B38" s="351" t="s">
        <v>33</v>
      </c>
      <c r="C38" s="336">
        <f>'PAC INICIAL 2020'!C38</f>
        <v>6000000</v>
      </c>
      <c r="D38" s="336"/>
      <c r="E38" s="342"/>
      <c r="F38" s="338"/>
      <c r="G38" s="339"/>
      <c r="H38" s="347"/>
      <c r="I38" s="341">
        <f>C38-E38+F38+G38-H38</f>
        <v>6000000</v>
      </c>
      <c r="J38" s="342"/>
      <c r="K38" s="2">
        <v>0</v>
      </c>
      <c r="L38" s="343">
        <v>0</v>
      </c>
      <c r="M38" s="353">
        <f t="shared" si="10"/>
        <v>0</v>
      </c>
      <c r="N38" s="522">
        <f>J38+K38</f>
        <v>0</v>
      </c>
      <c r="O38" s="345">
        <f t="shared" si="3"/>
        <v>6000000</v>
      </c>
      <c r="P38" s="346">
        <v>0</v>
      </c>
      <c r="Q38" s="346"/>
      <c r="R38" s="346"/>
      <c r="S38" s="553">
        <f>Q38+R38</f>
        <v>0</v>
      </c>
      <c r="T38" s="553">
        <f>N38-S38</f>
        <v>0</v>
      </c>
      <c r="U38" s="553">
        <f>M38-N38</f>
        <v>0</v>
      </c>
    </row>
    <row r="39" spans="1:21" ht="15">
      <c r="A39" s="334">
        <v>202120102</v>
      </c>
      <c r="B39" s="354" t="s">
        <v>35</v>
      </c>
      <c r="C39" s="336">
        <f>'PAC INICIAL 2020'!C39</f>
        <v>14000000</v>
      </c>
      <c r="D39" s="336"/>
      <c r="E39" s="342"/>
      <c r="F39" s="338"/>
      <c r="G39" s="339"/>
      <c r="H39" s="347"/>
      <c r="I39" s="341">
        <f>C39-E39+F39+G39-H39</f>
        <v>14000000</v>
      </c>
      <c r="J39" s="342"/>
      <c r="K39" s="342">
        <f>'LIBRO DE PRESUPUESTO'!J199+'LIBRO DE PRESUPUESTO'!J200</f>
        <v>1799800</v>
      </c>
      <c r="L39" s="343">
        <f>M39/I39</f>
        <v>0.12855714285714287</v>
      </c>
      <c r="M39" s="353">
        <f t="shared" si="10"/>
        <v>1799800</v>
      </c>
      <c r="N39" s="522">
        <f>J39+K39</f>
        <v>1799800</v>
      </c>
      <c r="O39" s="345">
        <f t="shared" si="3"/>
        <v>12200200</v>
      </c>
      <c r="P39" s="355">
        <f>O39/I39</f>
        <v>0.87144285714285719</v>
      </c>
      <c r="Q39" s="355"/>
      <c r="R39" s="355"/>
      <c r="S39" s="553">
        <f>Q39+R39</f>
        <v>0</v>
      </c>
      <c r="T39" s="553">
        <f>N39-S39</f>
        <v>1799800</v>
      </c>
      <c r="U39" s="553">
        <f>M39-N39</f>
        <v>0</v>
      </c>
    </row>
    <row r="40" spans="1:21" ht="15">
      <c r="A40" s="334">
        <v>202120104</v>
      </c>
      <c r="B40" s="351" t="s">
        <v>37</v>
      </c>
      <c r="C40" s="336">
        <f>'PAC INICIAL 2020'!C40</f>
        <v>1300000</v>
      </c>
      <c r="D40" s="336"/>
      <c r="E40" s="342"/>
      <c r="F40" s="338"/>
      <c r="G40" s="339"/>
      <c r="H40" s="356"/>
      <c r="I40" s="341">
        <f>C40-E40+F40+G40-H40</f>
        <v>1300000</v>
      </c>
      <c r="J40" s="342"/>
      <c r="K40" s="342">
        <v>0</v>
      </c>
      <c r="L40" s="343">
        <f>M40/I40</f>
        <v>0</v>
      </c>
      <c r="M40" s="353">
        <f t="shared" si="10"/>
        <v>0</v>
      </c>
      <c r="N40" s="522">
        <f>J40+K40</f>
        <v>0</v>
      </c>
      <c r="O40" s="345">
        <f t="shared" si="3"/>
        <v>1300000</v>
      </c>
      <c r="P40" s="355">
        <f>O40/I40</f>
        <v>1</v>
      </c>
      <c r="Q40" s="355"/>
      <c r="R40" s="355"/>
      <c r="S40" s="553">
        <f>Q40+R40</f>
        <v>0</v>
      </c>
      <c r="T40" s="553">
        <f>N40-S40</f>
        <v>0</v>
      </c>
      <c r="U40" s="553">
        <f>M40-N40</f>
        <v>0</v>
      </c>
    </row>
    <row r="41" spans="1:21" ht="15">
      <c r="A41" s="334">
        <v>202120105</v>
      </c>
      <c r="B41" s="351" t="s">
        <v>39</v>
      </c>
      <c r="C41" s="336">
        <f>'PAC INICIAL 2020'!C41</f>
        <v>0</v>
      </c>
      <c r="D41" s="336"/>
      <c r="E41" s="342"/>
      <c r="F41" s="338"/>
      <c r="G41" s="339"/>
      <c r="H41" s="347"/>
      <c r="I41" s="341">
        <f>C41-E41+F41+G41-H41</f>
        <v>0</v>
      </c>
      <c r="J41" s="342"/>
      <c r="K41" s="342">
        <v>0</v>
      </c>
      <c r="L41" s="343">
        <v>0</v>
      </c>
      <c r="M41" s="353">
        <f t="shared" si="10"/>
        <v>0</v>
      </c>
      <c r="N41" s="522">
        <f>J41+K41</f>
        <v>0</v>
      </c>
      <c r="O41" s="345">
        <f t="shared" si="3"/>
        <v>0</v>
      </c>
      <c r="P41" s="355">
        <v>0</v>
      </c>
      <c r="Q41" s="355"/>
      <c r="R41" s="355"/>
      <c r="S41" s="553">
        <f>Q41+R41</f>
        <v>0</v>
      </c>
      <c r="T41" s="553">
        <f>N41-S41</f>
        <v>0</v>
      </c>
      <c r="U41" s="553">
        <f>M41-N41</f>
        <v>0</v>
      </c>
    </row>
    <row r="42" spans="1:21" s="349" customFormat="1" ht="27.75" customHeight="1">
      <c r="A42" s="327">
        <v>2021202</v>
      </c>
      <c r="B42" s="352" t="s">
        <v>41</v>
      </c>
      <c r="C42" s="329">
        <f t="shared" ref="C42:K42" si="26">SUM(C43:C58)</f>
        <v>127719000</v>
      </c>
      <c r="D42" s="329"/>
      <c r="E42" s="329">
        <f t="shared" si="26"/>
        <v>0</v>
      </c>
      <c r="F42" s="329">
        <f t="shared" si="26"/>
        <v>0</v>
      </c>
      <c r="G42" s="329">
        <f t="shared" si="26"/>
        <v>10000000</v>
      </c>
      <c r="H42" s="329">
        <f t="shared" si="26"/>
        <v>0</v>
      </c>
      <c r="I42" s="329">
        <f>SUM(I43:I58)</f>
        <v>137719000</v>
      </c>
      <c r="J42" s="329">
        <f t="shared" si="26"/>
        <v>0</v>
      </c>
      <c r="K42" s="329">
        <f t="shared" si="26"/>
        <v>3000823</v>
      </c>
      <c r="L42" s="330">
        <f t="shared" ref="L42:L49" si="27">M42/I42</f>
        <v>2.1789462601383976E-2</v>
      </c>
      <c r="M42" s="331">
        <f>J42+K42</f>
        <v>3000823</v>
      </c>
      <c r="N42" s="555"/>
      <c r="O42" s="348">
        <f>SUM(O43:O58)</f>
        <v>134718177</v>
      </c>
      <c r="P42" s="332">
        <f t="shared" ref="P42:P47" si="28">O42/I42</f>
        <v>0.97821053739861608</v>
      </c>
      <c r="Q42" s="332"/>
      <c r="R42" s="332"/>
      <c r="S42" s="332"/>
      <c r="T42" s="332"/>
      <c r="U42" s="332"/>
    </row>
    <row r="43" spans="1:21" ht="15">
      <c r="A43" s="334">
        <v>202120201</v>
      </c>
      <c r="B43" s="351" t="s">
        <v>43</v>
      </c>
      <c r="C43" s="336">
        <f>'PAC INICIAL 2020'!C43</f>
        <v>9000000</v>
      </c>
      <c r="D43" s="336"/>
      <c r="E43" s="342"/>
      <c r="F43" s="338"/>
      <c r="G43" s="339">
        <f>'LIBRO DE PRESUPUESTO'!G227</f>
        <v>10000000</v>
      </c>
      <c r="H43" s="347"/>
      <c r="I43" s="341">
        <f t="shared" ref="I43:I57" si="29">C43-E43+F43+G43-H43</f>
        <v>19000000</v>
      </c>
      <c r="J43" s="342"/>
      <c r="K43" s="342">
        <f>'LIBRO DE PRESUPUESTO'!J228</f>
        <v>1400000</v>
      </c>
      <c r="L43" s="343">
        <f t="shared" si="27"/>
        <v>7.3684210526315783E-2</v>
      </c>
      <c r="M43" s="353">
        <f t="shared" si="10"/>
        <v>1400000</v>
      </c>
      <c r="N43" s="522">
        <f>J43+K43</f>
        <v>1400000</v>
      </c>
      <c r="O43" s="345">
        <f t="shared" si="3"/>
        <v>17600000</v>
      </c>
      <c r="P43" s="355">
        <f t="shared" si="28"/>
        <v>0.9263157894736842</v>
      </c>
      <c r="Q43" s="355"/>
      <c r="R43" s="355"/>
      <c r="S43" s="553">
        <f>Q43+R43</f>
        <v>0</v>
      </c>
      <c r="T43" s="553">
        <f>N43-S43</f>
        <v>1400000</v>
      </c>
      <c r="U43" s="553">
        <f>M43-N43</f>
        <v>0</v>
      </c>
    </row>
    <row r="44" spans="1:21" ht="15">
      <c r="A44" s="334">
        <v>202120202</v>
      </c>
      <c r="B44" s="351" t="s">
        <v>44</v>
      </c>
      <c r="C44" s="336">
        <f>'PAC INICIAL 2020'!C44</f>
        <v>52500000</v>
      </c>
      <c r="D44" s="336"/>
      <c r="E44" s="342"/>
      <c r="F44" s="338"/>
      <c r="G44" s="339"/>
      <c r="H44" s="347"/>
      <c r="I44" s="341">
        <f t="shared" si="29"/>
        <v>52500000</v>
      </c>
      <c r="J44" s="342"/>
      <c r="K44" s="342"/>
      <c r="L44" s="343">
        <f t="shared" si="27"/>
        <v>0</v>
      </c>
      <c r="M44" s="353">
        <f t="shared" si="10"/>
        <v>0</v>
      </c>
      <c r="N44" s="522">
        <f t="shared" ref="N44:N58" si="30">J44+K44</f>
        <v>0</v>
      </c>
      <c r="O44" s="345">
        <f t="shared" si="3"/>
        <v>52500000</v>
      </c>
      <c r="P44" s="355">
        <f t="shared" si="28"/>
        <v>1</v>
      </c>
      <c r="Q44" s="355"/>
      <c r="R44" s="355"/>
      <c r="S44" s="355"/>
      <c r="T44" s="553">
        <f t="shared" ref="T44:T57" si="31">N44-S44</f>
        <v>0</v>
      </c>
      <c r="U44" s="553">
        <f t="shared" ref="U44:U57" si="32">M44-N44</f>
        <v>0</v>
      </c>
    </row>
    <row r="45" spans="1:21" ht="15">
      <c r="A45" s="334">
        <v>202120203</v>
      </c>
      <c r="B45" s="351" t="s">
        <v>46</v>
      </c>
      <c r="C45" s="336">
        <f>'PAC INICIAL 2020'!C45</f>
        <v>2000000</v>
      </c>
      <c r="D45" s="336"/>
      <c r="E45" s="342"/>
      <c r="F45" s="338"/>
      <c r="G45" s="339"/>
      <c r="H45" s="347"/>
      <c r="I45" s="341">
        <f t="shared" si="29"/>
        <v>2000000</v>
      </c>
      <c r="J45" s="342"/>
      <c r="K45" s="4">
        <f>'LIBRO DE PRESUPUESTO'!J382</f>
        <v>300000</v>
      </c>
      <c r="L45" s="343">
        <f t="shared" si="27"/>
        <v>0.15</v>
      </c>
      <c r="M45" s="353">
        <f t="shared" si="10"/>
        <v>300000</v>
      </c>
      <c r="N45" s="522">
        <f t="shared" si="30"/>
        <v>300000</v>
      </c>
      <c r="O45" s="345">
        <f t="shared" si="3"/>
        <v>1700000</v>
      </c>
      <c r="P45" s="355">
        <f t="shared" si="28"/>
        <v>0.85</v>
      </c>
      <c r="Q45" s="355"/>
      <c r="R45" s="355"/>
      <c r="S45" s="355"/>
      <c r="T45" s="553">
        <f t="shared" si="31"/>
        <v>300000</v>
      </c>
      <c r="U45" s="553">
        <f t="shared" si="32"/>
        <v>0</v>
      </c>
    </row>
    <row r="46" spans="1:21" ht="15">
      <c r="A46" s="334">
        <v>202120204</v>
      </c>
      <c r="B46" s="351" t="s">
        <v>48</v>
      </c>
      <c r="C46" s="336">
        <f>'PAC INICIAL 2020'!C46</f>
        <v>11619000</v>
      </c>
      <c r="D46" s="336"/>
      <c r="E46" s="342"/>
      <c r="F46" s="338"/>
      <c r="G46" s="339"/>
      <c r="H46" s="347"/>
      <c r="I46" s="341">
        <f t="shared" si="29"/>
        <v>11619000</v>
      </c>
      <c r="J46" s="342"/>
      <c r="K46" s="4">
        <f>'LIBRO DE PRESUPUESTO'!J402</f>
        <v>877000</v>
      </c>
      <c r="L46" s="343">
        <f t="shared" si="27"/>
        <v>7.5479817540235819E-2</v>
      </c>
      <c r="M46" s="353">
        <f t="shared" si="10"/>
        <v>877000</v>
      </c>
      <c r="N46" s="522">
        <f t="shared" si="30"/>
        <v>877000</v>
      </c>
      <c r="O46" s="345">
        <f t="shared" si="3"/>
        <v>10742000</v>
      </c>
      <c r="P46" s="346">
        <f t="shared" si="28"/>
        <v>0.92452018245976419</v>
      </c>
      <c r="Q46" s="346"/>
      <c r="R46" s="346"/>
      <c r="S46" s="346"/>
      <c r="T46" s="553">
        <f t="shared" si="31"/>
        <v>877000</v>
      </c>
      <c r="U46" s="553">
        <f t="shared" si="32"/>
        <v>0</v>
      </c>
    </row>
    <row r="47" spans="1:21" ht="15">
      <c r="A47" s="334">
        <v>202120205</v>
      </c>
      <c r="B47" s="351" t="s">
        <v>50</v>
      </c>
      <c r="C47" s="336">
        <f>'PAC INICIAL 2020'!C47</f>
        <v>8000000</v>
      </c>
      <c r="D47" s="336"/>
      <c r="E47" s="342"/>
      <c r="F47" s="338"/>
      <c r="G47" s="339"/>
      <c r="H47" s="347"/>
      <c r="I47" s="341">
        <f t="shared" si="29"/>
        <v>8000000</v>
      </c>
      <c r="J47" s="342"/>
      <c r="K47" s="4">
        <f>'LIBRO DE PRESUPUESTO'!J417+'LIBRO DE PRESUPUESTO'!J418</f>
        <v>321383</v>
      </c>
      <c r="L47" s="343">
        <f t="shared" si="27"/>
        <v>4.0172874999999997E-2</v>
      </c>
      <c r="M47" s="353">
        <f t="shared" si="10"/>
        <v>321383</v>
      </c>
      <c r="N47" s="522">
        <f t="shared" si="30"/>
        <v>321383</v>
      </c>
      <c r="O47" s="345">
        <f t="shared" si="3"/>
        <v>7678617</v>
      </c>
      <c r="P47" s="346">
        <f t="shared" si="28"/>
        <v>0.959827125</v>
      </c>
      <c r="Q47" s="346"/>
      <c r="R47" s="346"/>
      <c r="S47" s="346"/>
      <c r="T47" s="553">
        <f t="shared" si="31"/>
        <v>321383</v>
      </c>
      <c r="U47" s="553">
        <f t="shared" si="32"/>
        <v>0</v>
      </c>
    </row>
    <row r="48" spans="1:21" ht="15">
      <c r="A48" s="334">
        <v>202120206</v>
      </c>
      <c r="B48" s="351" t="s">
        <v>52</v>
      </c>
      <c r="C48" s="336">
        <f>'PAC INICIAL 2020'!C48</f>
        <v>2500000</v>
      </c>
      <c r="D48" s="336"/>
      <c r="E48" s="342"/>
      <c r="F48" s="338"/>
      <c r="G48" s="339"/>
      <c r="H48" s="347"/>
      <c r="I48" s="341">
        <f t="shared" si="29"/>
        <v>2500000</v>
      </c>
      <c r="J48" s="342"/>
      <c r="K48" s="2">
        <f>'LIBRO DE PRESUPUESTO'!J454+'LIBRO DE PRESUPUESTO'!J455</f>
        <v>102440</v>
      </c>
      <c r="L48" s="343">
        <f t="shared" si="27"/>
        <v>4.0975999999999999E-2</v>
      </c>
      <c r="M48" s="353">
        <f t="shared" si="10"/>
        <v>102440</v>
      </c>
      <c r="N48" s="522">
        <f t="shared" si="30"/>
        <v>102440</v>
      </c>
      <c r="O48" s="345">
        <f t="shared" si="3"/>
        <v>2397560</v>
      </c>
      <c r="P48" s="346">
        <v>0</v>
      </c>
      <c r="Q48" s="346"/>
      <c r="R48" s="346"/>
      <c r="S48" s="346"/>
      <c r="T48" s="553">
        <f t="shared" si="31"/>
        <v>102440</v>
      </c>
      <c r="U48" s="553">
        <f t="shared" si="32"/>
        <v>0</v>
      </c>
    </row>
    <row r="49" spans="1:21" ht="15">
      <c r="A49" s="334">
        <v>202120207</v>
      </c>
      <c r="B49" s="354" t="s">
        <v>54</v>
      </c>
      <c r="C49" s="336">
        <f>'PAC INICIAL 2020'!C49</f>
        <v>1500000</v>
      </c>
      <c r="D49" s="336"/>
      <c r="E49" s="342"/>
      <c r="F49" s="338"/>
      <c r="G49" s="339"/>
      <c r="H49" s="347"/>
      <c r="I49" s="341">
        <f t="shared" si="29"/>
        <v>1500000</v>
      </c>
      <c r="J49" s="342"/>
      <c r="K49" s="342">
        <v>0</v>
      </c>
      <c r="L49" s="343">
        <f t="shared" si="27"/>
        <v>0</v>
      </c>
      <c r="M49" s="353">
        <f t="shared" si="10"/>
        <v>0</v>
      </c>
      <c r="N49" s="522">
        <f t="shared" si="30"/>
        <v>0</v>
      </c>
      <c r="O49" s="345">
        <f t="shared" si="3"/>
        <v>1500000</v>
      </c>
      <c r="P49" s="346">
        <f>O49/I49</f>
        <v>1</v>
      </c>
      <c r="Q49" s="346"/>
      <c r="R49" s="346"/>
      <c r="S49" s="346"/>
      <c r="T49" s="553">
        <f t="shared" si="31"/>
        <v>0</v>
      </c>
      <c r="U49" s="553">
        <f t="shared" si="32"/>
        <v>0</v>
      </c>
    </row>
    <row r="50" spans="1:21" ht="15">
      <c r="A50" s="334">
        <v>202120208</v>
      </c>
      <c r="B50" s="351" t="s">
        <v>56</v>
      </c>
      <c r="C50" s="336">
        <f>'PAC INICIAL 2020'!C50</f>
        <v>0</v>
      </c>
      <c r="D50" s="336"/>
      <c r="E50" s="342"/>
      <c r="F50" s="338"/>
      <c r="G50" s="357"/>
      <c r="H50" s="347"/>
      <c r="I50" s="341">
        <f t="shared" si="29"/>
        <v>0</v>
      </c>
      <c r="J50" s="342"/>
      <c r="K50" s="342">
        <v>0</v>
      </c>
      <c r="L50" s="343">
        <v>0</v>
      </c>
      <c r="M50" s="353">
        <f t="shared" si="10"/>
        <v>0</v>
      </c>
      <c r="N50" s="522">
        <f t="shared" si="30"/>
        <v>0</v>
      </c>
      <c r="O50" s="345">
        <f t="shared" si="3"/>
        <v>0</v>
      </c>
      <c r="P50" s="346">
        <v>0</v>
      </c>
      <c r="Q50" s="346"/>
      <c r="R50" s="346"/>
      <c r="S50" s="346"/>
      <c r="T50" s="553">
        <f t="shared" si="31"/>
        <v>0</v>
      </c>
      <c r="U50" s="553">
        <f t="shared" si="32"/>
        <v>0</v>
      </c>
    </row>
    <row r="51" spans="1:21" ht="15">
      <c r="A51" s="334">
        <v>202120209</v>
      </c>
      <c r="B51" s="351" t="s">
        <v>58</v>
      </c>
      <c r="C51" s="336">
        <f>'PAC INICIAL 2020'!C51</f>
        <v>9400000</v>
      </c>
      <c r="D51" s="336"/>
      <c r="E51" s="342"/>
      <c r="F51" s="338"/>
      <c r="G51" s="339"/>
      <c r="H51" s="347"/>
      <c r="I51" s="341">
        <f t="shared" si="29"/>
        <v>9400000</v>
      </c>
      <c r="J51" s="342"/>
      <c r="K51" s="6">
        <v>0</v>
      </c>
      <c r="L51" s="343">
        <f>M51/I51</f>
        <v>0</v>
      </c>
      <c r="M51" s="353">
        <f t="shared" si="10"/>
        <v>0</v>
      </c>
      <c r="N51" s="522">
        <f t="shared" si="30"/>
        <v>0</v>
      </c>
      <c r="O51" s="345">
        <f t="shared" si="3"/>
        <v>9400000</v>
      </c>
      <c r="P51" s="346">
        <f>O51/I51</f>
        <v>1</v>
      </c>
      <c r="Q51" s="346"/>
      <c r="R51" s="346"/>
      <c r="S51" s="346"/>
      <c r="T51" s="553">
        <f t="shared" si="31"/>
        <v>0</v>
      </c>
      <c r="U51" s="553">
        <f t="shared" si="32"/>
        <v>0</v>
      </c>
    </row>
    <row r="52" spans="1:21" ht="15">
      <c r="A52" s="334">
        <v>202120210</v>
      </c>
      <c r="B52" s="354" t="s">
        <v>60</v>
      </c>
      <c r="C52" s="336">
        <f>'PAC INICIAL 2020'!C52</f>
        <v>10000000</v>
      </c>
      <c r="D52" s="336"/>
      <c r="E52" s="342"/>
      <c r="F52" s="338"/>
      <c r="G52" s="339"/>
      <c r="H52" s="347"/>
      <c r="I52" s="341">
        <f t="shared" si="29"/>
        <v>10000000</v>
      </c>
      <c r="J52" s="342"/>
      <c r="K52" s="6">
        <v>0</v>
      </c>
      <c r="L52" s="343">
        <f>M52/I52</f>
        <v>0</v>
      </c>
      <c r="M52" s="353">
        <f t="shared" si="10"/>
        <v>0</v>
      </c>
      <c r="N52" s="522">
        <f t="shared" si="30"/>
        <v>0</v>
      </c>
      <c r="O52" s="345">
        <f t="shared" si="3"/>
        <v>10000000</v>
      </c>
      <c r="P52" s="346">
        <f>O52/I52</f>
        <v>1</v>
      </c>
      <c r="Q52" s="346"/>
      <c r="R52" s="346"/>
      <c r="S52" s="346"/>
      <c r="T52" s="553">
        <f t="shared" si="31"/>
        <v>0</v>
      </c>
      <c r="U52" s="553">
        <f t="shared" si="32"/>
        <v>0</v>
      </c>
    </row>
    <row r="53" spans="1:21" ht="15">
      <c r="A53" s="334">
        <v>202120211</v>
      </c>
      <c r="B53" s="351" t="s">
        <v>62</v>
      </c>
      <c r="C53" s="336">
        <f>'PAC INICIAL 2020'!C53</f>
        <v>4000000</v>
      </c>
      <c r="D53" s="336"/>
      <c r="E53" s="342"/>
      <c r="F53" s="338"/>
      <c r="G53" s="339"/>
      <c r="H53" s="347"/>
      <c r="I53" s="341">
        <f t="shared" si="29"/>
        <v>4000000</v>
      </c>
      <c r="J53" s="342"/>
      <c r="K53" s="6">
        <v>0</v>
      </c>
      <c r="L53" s="343">
        <v>0</v>
      </c>
      <c r="M53" s="353">
        <f t="shared" si="10"/>
        <v>0</v>
      </c>
      <c r="N53" s="522">
        <f t="shared" si="30"/>
        <v>0</v>
      </c>
      <c r="O53" s="345">
        <f t="shared" si="3"/>
        <v>4000000</v>
      </c>
      <c r="P53" s="346">
        <v>0</v>
      </c>
      <c r="Q53" s="346"/>
      <c r="R53" s="346"/>
      <c r="S53" s="346"/>
      <c r="T53" s="553">
        <f t="shared" si="31"/>
        <v>0</v>
      </c>
      <c r="U53" s="553">
        <f t="shared" si="32"/>
        <v>0</v>
      </c>
    </row>
    <row r="54" spans="1:21" ht="15">
      <c r="A54" s="334">
        <v>202120212</v>
      </c>
      <c r="B54" s="351" t="s">
        <v>64</v>
      </c>
      <c r="C54" s="336">
        <f>'PAC INICIAL 2020'!C54</f>
        <v>15000000</v>
      </c>
      <c r="D54" s="336"/>
      <c r="E54" s="342"/>
      <c r="F54" s="338"/>
      <c r="G54" s="339"/>
      <c r="H54" s="347"/>
      <c r="I54" s="341">
        <f t="shared" si="29"/>
        <v>15000000</v>
      </c>
      <c r="J54" s="342"/>
      <c r="K54" s="342">
        <v>0</v>
      </c>
      <c r="L54" s="343">
        <v>0</v>
      </c>
      <c r="M54" s="353">
        <f t="shared" si="10"/>
        <v>0</v>
      </c>
      <c r="N54" s="522">
        <f t="shared" si="30"/>
        <v>0</v>
      </c>
      <c r="O54" s="345">
        <f t="shared" si="3"/>
        <v>15000000</v>
      </c>
      <c r="P54" s="346">
        <v>0</v>
      </c>
      <c r="Q54" s="346"/>
      <c r="R54" s="346"/>
      <c r="S54" s="346"/>
      <c r="T54" s="553">
        <f t="shared" si="31"/>
        <v>0</v>
      </c>
      <c r="U54" s="553">
        <f t="shared" si="32"/>
        <v>0</v>
      </c>
    </row>
    <row r="55" spans="1:21" ht="15">
      <c r="A55" s="334">
        <v>202120213</v>
      </c>
      <c r="B55" s="351" t="s">
        <v>65</v>
      </c>
      <c r="C55" s="336">
        <f>'PAC INICIAL 2020'!C55</f>
        <v>0</v>
      </c>
      <c r="D55" s="336"/>
      <c r="E55" s="342"/>
      <c r="F55" s="338"/>
      <c r="G55" s="339"/>
      <c r="H55" s="347"/>
      <c r="I55" s="341">
        <f t="shared" si="29"/>
        <v>0</v>
      </c>
      <c r="J55" s="342"/>
      <c r="K55" s="342">
        <v>0</v>
      </c>
      <c r="L55" s="343">
        <v>0</v>
      </c>
      <c r="M55" s="353">
        <f t="shared" si="10"/>
        <v>0</v>
      </c>
      <c r="N55" s="522">
        <f t="shared" si="30"/>
        <v>0</v>
      </c>
      <c r="O55" s="345">
        <f t="shared" si="3"/>
        <v>0</v>
      </c>
      <c r="P55" s="346">
        <v>0</v>
      </c>
      <c r="Q55" s="346"/>
      <c r="R55" s="346"/>
      <c r="S55" s="346"/>
      <c r="T55" s="553">
        <f t="shared" si="31"/>
        <v>0</v>
      </c>
      <c r="U55" s="553">
        <f t="shared" si="32"/>
        <v>0</v>
      </c>
    </row>
    <row r="56" spans="1:21" ht="15">
      <c r="A56" s="334">
        <v>202120214</v>
      </c>
      <c r="B56" s="351" t="s">
        <v>67</v>
      </c>
      <c r="C56" s="336">
        <f>'PAC INICIAL 2020'!C56</f>
        <v>0</v>
      </c>
      <c r="D56" s="336"/>
      <c r="E56" s="342"/>
      <c r="F56" s="338"/>
      <c r="G56" s="339"/>
      <c r="H56" s="347"/>
      <c r="I56" s="341">
        <f t="shared" si="29"/>
        <v>0</v>
      </c>
      <c r="J56" s="342"/>
      <c r="K56" s="342">
        <v>0</v>
      </c>
      <c r="L56" s="343">
        <v>0</v>
      </c>
      <c r="M56" s="353">
        <f t="shared" si="10"/>
        <v>0</v>
      </c>
      <c r="N56" s="522">
        <f t="shared" si="30"/>
        <v>0</v>
      </c>
      <c r="O56" s="345">
        <f t="shared" si="3"/>
        <v>0</v>
      </c>
      <c r="P56" s="346">
        <v>0</v>
      </c>
      <c r="Q56" s="346"/>
      <c r="R56" s="346"/>
      <c r="S56" s="346"/>
      <c r="T56" s="553">
        <f t="shared" si="31"/>
        <v>0</v>
      </c>
      <c r="U56" s="553">
        <f t="shared" si="32"/>
        <v>0</v>
      </c>
    </row>
    <row r="57" spans="1:21" ht="15">
      <c r="A57" s="358">
        <v>202120215</v>
      </c>
      <c r="B57" s="351" t="s">
        <v>97</v>
      </c>
      <c r="C57" s="336">
        <f>'PAC INICIAL 2020'!C57</f>
        <v>1200000</v>
      </c>
      <c r="D57" s="336"/>
      <c r="E57" s="342"/>
      <c r="F57" s="338"/>
      <c r="G57" s="339"/>
      <c r="H57" s="347"/>
      <c r="I57" s="341">
        <f t="shared" si="29"/>
        <v>1200000</v>
      </c>
      <c r="J57" s="342"/>
      <c r="K57" s="342">
        <v>0</v>
      </c>
      <c r="L57" s="343">
        <f>M57/I57</f>
        <v>0</v>
      </c>
      <c r="M57" s="344">
        <f>K57+J57</f>
        <v>0</v>
      </c>
      <c r="N57" s="522">
        <f t="shared" si="30"/>
        <v>0</v>
      </c>
      <c r="O57" s="345">
        <f t="shared" si="3"/>
        <v>1200000</v>
      </c>
      <c r="P57" s="346">
        <f>O57/I57</f>
        <v>1</v>
      </c>
      <c r="Q57" s="346"/>
      <c r="R57" s="346"/>
      <c r="S57" s="346"/>
      <c r="T57" s="553">
        <f t="shared" si="31"/>
        <v>0</v>
      </c>
      <c r="U57" s="553">
        <f t="shared" si="32"/>
        <v>0</v>
      </c>
    </row>
    <row r="58" spans="1:21" ht="15">
      <c r="A58" s="358">
        <v>202120216</v>
      </c>
      <c r="B58" s="351" t="s">
        <v>148</v>
      </c>
      <c r="C58" s="336">
        <f>'PAC INICIAL 2020'!C58</f>
        <v>1000000</v>
      </c>
      <c r="D58" s="336"/>
      <c r="E58" s="342"/>
      <c r="F58" s="338"/>
      <c r="G58" s="339"/>
      <c r="H58" s="347"/>
      <c r="I58" s="341">
        <f>C58-E58+F58+G58-H58</f>
        <v>1000000</v>
      </c>
      <c r="J58" s="342"/>
      <c r="K58" s="342">
        <v>0</v>
      </c>
      <c r="L58" s="343">
        <f>M58/I58</f>
        <v>0</v>
      </c>
      <c r="M58" s="344">
        <f>K58+J58</f>
        <v>0</v>
      </c>
      <c r="N58" s="522">
        <f t="shared" si="30"/>
        <v>0</v>
      </c>
      <c r="O58" s="345">
        <f>I58-M58</f>
        <v>1000000</v>
      </c>
      <c r="P58" s="346">
        <f>O58/I58</f>
        <v>1</v>
      </c>
      <c r="Q58" s="346"/>
      <c r="R58" s="346"/>
      <c r="S58" s="346"/>
      <c r="T58" s="346"/>
      <c r="U58" s="346"/>
    </row>
    <row r="59" spans="1:21" ht="15.75">
      <c r="A59" s="327">
        <v>2021301</v>
      </c>
      <c r="B59" s="352" t="s">
        <v>95</v>
      </c>
      <c r="C59" s="360">
        <f>C60</f>
        <v>75000000</v>
      </c>
      <c r="D59" s="360"/>
      <c r="E59" s="367">
        <f>E60</f>
        <v>0</v>
      </c>
      <c r="F59" s="367">
        <f>F60</f>
        <v>0</v>
      </c>
      <c r="G59" s="367">
        <f>G60</f>
        <v>0</v>
      </c>
      <c r="H59" s="367">
        <f>H60</f>
        <v>0</v>
      </c>
      <c r="I59" s="329">
        <f>SUM(I60:I60)</f>
        <v>75000000</v>
      </c>
      <c r="J59" s="329">
        <f>SUM(J60:J60)</f>
        <v>0</v>
      </c>
      <c r="K59" s="329">
        <f>SUM(K60:K60)</f>
        <v>0</v>
      </c>
      <c r="L59" s="330">
        <f>L60</f>
        <v>1</v>
      </c>
      <c r="M59" s="331">
        <f>M60</f>
        <v>0</v>
      </c>
      <c r="N59" s="555"/>
      <c r="O59" s="348">
        <f>SUM(O60:O60)</f>
        <v>75000000</v>
      </c>
      <c r="P59" s="332">
        <v>0</v>
      </c>
      <c r="Q59" s="332"/>
      <c r="R59" s="332"/>
      <c r="S59" s="332"/>
      <c r="T59" s="332"/>
      <c r="U59" s="332"/>
    </row>
    <row r="60" spans="1:21" ht="15">
      <c r="A60" s="368">
        <v>202130101</v>
      </c>
      <c r="B60" s="369" t="s">
        <v>96</v>
      </c>
      <c r="C60" s="336">
        <f>'PAC INICIAL 2020'!C76</f>
        <v>75000000</v>
      </c>
      <c r="D60" s="523"/>
      <c r="E60" s="370">
        <v>0</v>
      </c>
      <c r="F60" s="371"/>
      <c r="G60" s="372"/>
      <c r="H60" s="373"/>
      <c r="I60" s="341">
        <f>C60-E60+F60+G60-H60</f>
        <v>75000000</v>
      </c>
      <c r="J60" s="342"/>
      <c r="K60" s="370"/>
      <c r="L60" s="343">
        <v>1</v>
      </c>
      <c r="M60" s="344">
        <f>K60+J60</f>
        <v>0</v>
      </c>
      <c r="N60" s="522">
        <f>J60+K60</f>
        <v>0</v>
      </c>
      <c r="O60" s="345">
        <f>I60-M60</f>
        <v>75000000</v>
      </c>
      <c r="P60" s="346">
        <v>0</v>
      </c>
      <c r="Q60" s="346"/>
      <c r="R60" s="346"/>
      <c r="S60" s="553">
        <f>Q60+R60</f>
        <v>0</v>
      </c>
      <c r="T60" s="553">
        <f>N60-S60</f>
        <v>0</v>
      </c>
      <c r="U60" s="553">
        <f>M60-N60</f>
        <v>0</v>
      </c>
    </row>
    <row r="61" spans="1:21" s="380" customFormat="1" ht="31.5" customHeight="1">
      <c r="A61" s="374"/>
      <c r="B61" s="375" t="s">
        <v>171</v>
      </c>
      <c r="C61" s="376">
        <f>C26+C21+C42+C17+C37+C8+C59</f>
        <v>1155126065</v>
      </c>
      <c r="D61" s="376"/>
      <c r="E61" s="377">
        <f>E9+E26</f>
        <v>0</v>
      </c>
      <c r="F61" s="377">
        <f>F8+F17+F37+F42+F21+F26+F59</f>
        <v>0</v>
      </c>
      <c r="G61" s="377">
        <f>G8+G17+G37+G42++G21+G26+G59</f>
        <v>54000000</v>
      </c>
      <c r="H61" s="377">
        <f>H8+H17+H37+H42+H21+H26+H59</f>
        <v>54000000</v>
      </c>
      <c r="I61" s="377">
        <f>I8+I17+I37+I42+I21+I26+I59</f>
        <v>1155126065</v>
      </c>
      <c r="J61" s="377">
        <f>J8+J17+J37+J42+J21+J26+J59</f>
        <v>0</v>
      </c>
      <c r="K61" s="377">
        <f>K8+K17+K37+K42+K21+K26+K59</f>
        <v>63597228</v>
      </c>
      <c r="L61" s="378">
        <f>M61/I61</f>
        <v>5.5056525800064947E-2</v>
      </c>
      <c r="M61" s="377">
        <f>M8+M17+M37+M42+M21+M26+M59</f>
        <v>63597228</v>
      </c>
      <c r="N61" s="377"/>
      <c r="O61" s="377">
        <f>O8+O17+O37+O42+O21+O26+O59</f>
        <v>1091528837</v>
      </c>
      <c r="P61" s="379">
        <f>O61/I61</f>
        <v>0.94494347419993507</v>
      </c>
      <c r="Q61" s="379"/>
      <c r="R61" s="379"/>
      <c r="S61" s="379"/>
      <c r="T61" s="379"/>
      <c r="U61" s="379"/>
    </row>
    <row r="62" spans="1:21" ht="35.25" customHeight="1">
      <c r="A62" s="381" t="s">
        <v>172</v>
      </c>
      <c r="B62" s="694" t="s">
        <v>173</v>
      </c>
      <c r="C62" s="695"/>
      <c r="D62" s="695"/>
      <c r="E62" s="695"/>
      <c r="F62" s="695"/>
      <c r="G62" s="695"/>
      <c r="H62" s="695"/>
      <c r="I62" s="695"/>
      <c r="J62" s="695"/>
      <c r="K62" s="695"/>
      <c r="L62" s="695"/>
      <c r="M62" s="695"/>
      <c r="N62" s="695"/>
      <c r="O62" s="695"/>
      <c r="P62" s="695"/>
      <c r="Q62" s="695"/>
      <c r="R62" s="695"/>
      <c r="S62" s="695"/>
      <c r="T62" s="695"/>
      <c r="U62" s="696"/>
    </row>
    <row r="64" spans="1:21">
      <c r="E64" s="382"/>
      <c r="F64" s="382"/>
      <c r="G64" s="382"/>
      <c r="H64" s="382"/>
      <c r="O64" s="382"/>
    </row>
    <row r="65" spans="5:15">
      <c r="H65" s="382"/>
      <c r="J65" s="382"/>
      <c r="K65" s="385"/>
      <c r="O65" s="382"/>
    </row>
    <row r="66" spans="5:15">
      <c r="E66" s="382"/>
      <c r="K66" s="382"/>
      <c r="L66" s="382"/>
      <c r="O66" s="382"/>
    </row>
    <row r="67" spans="5:15">
      <c r="I67" s="382"/>
      <c r="K67" s="382"/>
      <c r="O67" s="382"/>
    </row>
    <row r="68" spans="5:15">
      <c r="K68" s="382"/>
    </row>
  </sheetData>
  <mergeCells count="9">
    <mergeCell ref="B62:U62"/>
    <mergeCell ref="Q5:S5"/>
    <mergeCell ref="A1:P1"/>
    <mergeCell ref="A2:P2"/>
    <mergeCell ref="A3:P3"/>
    <mergeCell ref="L5:L6"/>
    <mergeCell ref="F5:H5"/>
    <mergeCell ref="A5:B5"/>
    <mergeCell ref="I5:I6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63"/>
  <sheetViews>
    <sheetView workbookViewId="0">
      <selection activeCell="J228" sqref="J228"/>
    </sheetView>
  </sheetViews>
  <sheetFormatPr baseColWidth="10" defaultRowHeight="15"/>
  <cols>
    <col min="1" max="1" width="17.125" style="562" customWidth="1"/>
    <col min="2" max="2" width="19.75" style="564" customWidth="1"/>
    <col min="3" max="16384" width="11" style="562"/>
  </cols>
  <sheetData>
    <row r="5" spans="1:2">
      <c r="A5" s="563" t="s">
        <v>1</v>
      </c>
      <c r="B5" s="565" t="s">
        <v>166</v>
      </c>
    </row>
    <row r="6" spans="1:2">
      <c r="A6" s="563"/>
      <c r="B6" s="565" t="s">
        <v>170</v>
      </c>
    </row>
    <row r="7" spans="1:2">
      <c r="A7" s="563"/>
      <c r="B7" s="565"/>
    </row>
    <row r="8" spans="1:2">
      <c r="A8" s="563" t="s">
        <v>5</v>
      </c>
      <c r="B8" s="565">
        <v>557562660</v>
      </c>
    </row>
    <row r="9" spans="1:2">
      <c r="A9" s="563" t="s">
        <v>7</v>
      </c>
      <c r="B9" s="565">
        <v>246385086</v>
      </c>
    </row>
    <row r="10" spans="1:2">
      <c r="A10" s="563" t="s">
        <v>217</v>
      </c>
      <c r="B10" s="565">
        <v>167244166</v>
      </c>
    </row>
    <row r="11" spans="1:2">
      <c r="A11" s="563" t="s">
        <v>11</v>
      </c>
      <c r="B11" s="565">
        <v>628876</v>
      </c>
    </row>
    <row r="12" spans="1:2">
      <c r="A12" s="563" t="s">
        <v>13</v>
      </c>
      <c r="B12" s="565">
        <v>503412</v>
      </c>
    </row>
    <row r="13" spans="1:2">
      <c r="A13" s="563" t="s">
        <v>15</v>
      </c>
      <c r="B13" s="565">
        <v>14770961</v>
      </c>
    </row>
    <row r="14" spans="1:2">
      <c r="A14" s="563" t="s">
        <v>17</v>
      </c>
      <c r="B14" s="565">
        <v>18852131</v>
      </c>
    </row>
    <row r="15" spans="1:2">
      <c r="A15" s="563" t="s">
        <v>19</v>
      </c>
      <c r="B15" s="565">
        <v>24589475</v>
      </c>
    </row>
    <row r="16" spans="1:2">
      <c r="A16" s="563" t="s">
        <v>20</v>
      </c>
      <c r="B16" s="565">
        <v>30920594</v>
      </c>
    </row>
    <row r="17" spans="1:2">
      <c r="A17" s="563" t="s">
        <v>21</v>
      </c>
      <c r="B17" s="565">
        <v>53667959</v>
      </c>
    </row>
    <row r="18" spans="1:2">
      <c r="A18" s="563" t="s">
        <v>23</v>
      </c>
      <c r="B18" s="565">
        <v>0</v>
      </c>
    </row>
    <row r="19" spans="1:2">
      <c r="A19" s="563" t="s">
        <v>25</v>
      </c>
      <c r="B19" s="565">
        <v>0</v>
      </c>
    </row>
    <row r="20" spans="1:2">
      <c r="A20" s="563" t="s">
        <v>27</v>
      </c>
      <c r="B20" s="565">
        <v>0</v>
      </c>
    </row>
    <row r="21" spans="1:2">
      <c r="A21" s="563" t="s">
        <v>29</v>
      </c>
      <c r="B21" s="565">
        <v>0</v>
      </c>
    </row>
    <row r="22" spans="1:2">
      <c r="A22" s="563" t="s">
        <v>69</v>
      </c>
      <c r="B22" s="565">
        <v>57404895</v>
      </c>
    </row>
    <row r="23" spans="1:2">
      <c r="A23" s="563" t="s">
        <v>71</v>
      </c>
      <c r="B23" s="565">
        <v>14634456</v>
      </c>
    </row>
    <row r="24" spans="1:2">
      <c r="A24" s="563" t="s">
        <v>73</v>
      </c>
      <c r="B24" s="565">
        <v>27059559</v>
      </c>
    </row>
    <row r="25" spans="1:2">
      <c r="A25" s="563" t="s">
        <v>74</v>
      </c>
      <c r="B25" s="565">
        <v>8674755</v>
      </c>
    </row>
    <row r="26" spans="1:2">
      <c r="A26" s="563" t="s">
        <v>75</v>
      </c>
      <c r="B26" s="565">
        <v>7036125</v>
      </c>
    </row>
    <row r="27" spans="1:2">
      <c r="A27" s="563" t="s">
        <v>76</v>
      </c>
      <c r="B27" s="565">
        <v>87341572</v>
      </c>
    </row>
    <row r="28" spans="1:2">
      <c r="A28" s="563" t="s">
        <v>78</v>
      </c>
      <c r="B28" s="565">
        <v>9897950</v>
      </c>
    </row>
    <row r="29" spans="1:2">
      <c r="A29" s="563" t="s">
        <v>73</v>
      </c>
      <c r="B29" s="565">
        <v>0</v>
      </c>
    </row>
    <row r="30" spans="1:2">
      <c r="A30" s="563" t="s">
        <v>81</v>
      </c>
      <c r="B30" s="565">
        <v>2715800</v>
      </c>
    </row>
    <row r="31" spans="1:2">
      <c r="A31" s="563" t="s">
        <v>74</v>
      </c>
      <c r="B31" s="565">
        <v>29913322</v>
      </c>
    </row>
    <row r="32" spans="1:2">
      <c r="A32" s="563" t="s">
        <v>84</v>
      </c>
      <c r="B32" s="565">
        <v>17942800</v>
      </c>
    </row>
    <row r="33" spans="1:2">
      <c r="A33" s="563" t="s">
        <v>86</v>
      </c>
      <c r="B33" s="565">
        <v>16207800</v>
      </c>
    </row>
    <row r="34" spans="1:2">
      <c r="A34" s="563" t="s">
        <v>88</v>
      </c>
      <c r="B34" s="565">
        <v>2864900</v>
      </c>
    </row>
    <row r="35" spans="1:2">
      <c r="A35" s="563" t="s">
        <v>90</v>
      </c>
      <c r="B35" s="565">
        <v>2864900</v>
      </c>
    </row>
    <row r="36" spans="1:2">
      <c r="A36" s="563" t="s">
        <v>92</v>
      </c>
      <c r="B36" s="565">
        <v>4934100</v>
      </c>
    </row>
    <row r="37" spans="1:2">
      <c r="A37" s="563" t="s">
        <v>94</v>
      </c>
      <c r="B37" s="565">
        <v>0</v>
      </c>
    </row>
    <row r="38" spans="1:2">
      <c r="A38" s="563" t="s">
        <v>31</v>
      </c>
      <c r="B38" s="565">
        <v>8588600</v>
      </c>
    </row>
    <row r="39" spans="1:2">
      <c r="A39" s="563" t="s">
        <v>33</v>
      </c>
      <c r="B39" s="565">
        <v>2400000</v>
      </c>
    </row>
    <row r="40" spans="1:2">
      <c r="A40" s="563" t="s">
        <v>35</v>
      </c>
      <c r="B40" s="565">
        <v>4888600</v>
      </c>
    </row>
    <row r="41" spans="1:2">
      <c r="A41" s="563" t="s">
        <v>37</v>
      </c>
      <c r="B41" s="565">
        <v>1300000</v>
      </c>
    </row>
    <row r="42" spans="1:2">
      <c r="A42" s="563" t="s">
        <v>39</v>
      </c>
      <c r="B42" s="565">
        <v>0</v>
      </c>
    </row>
    <row r="43" spans="1:2">
      <c r="A43" s="563" t="s">
        <v>41</v>
      </c>
      <c r="B43" s="565">
        <v>106542351</v>
      </c>
    </row>
    <row r="44" spans="1:2">
      <c r="A44" s="563" t="s">
        <v>43</v>
      </c>
      <c r="B44" s="565">
        <v>13808500</v>
      </c>
    </row>
    <row r="45" spans="1:2">
      <c r="A45" s="563" t="s">
        <v>44</v>
      </c>
      <c r="B45" s="565">
        <v>34885880</v>
      </c>
    </row>
    <row r="46" spans="1:2">
      <c r="A46" s="563" t="s">
        <v>46</v>
      </c>
      <c r="B46" s="565">
        <v>1304400</v>
      </c>
    </row>
    <row r="47" spans="1:2">
      <c r="A47" s="563" t="s">
        <v>48</v>
      </c>
      <c r="B47" s="565">
        <v>7032900</v>
      </c>
    </row>
    <row r="48" spans="1:2">
      <c r="A48" s="563" t="s">
        <v>50</v>
      </c>
      <c r="B48" s="565">
        <v>6071006</v>
      </c>
    </row>
    <row r="49" spans="1:2">
      <c r="A49" s="563" t="s">
        <v>52</v>
      </c>
      <c r="B49" s="565">
        <v>1936530</v>
      </c>
    </row>
    <row r="50" spans="1:2">
      <c r="A50" s="563" t="s">
        <v>54</v>
      </c>
      <c r="B50" s="565">
        <v>1500000</v>
      </c>
    </row>
    <row r="51" spans="1:2">
      <c r="A51" s="563" t="s">
        <v>56</v>
      </c>
      <c r="B51" s="565">
        <v>0</v>
      </c>
    </row>
    <row r="52" spans="1:2">
      <c r="A52" s="563" t="s">
        <v>58</v>
      </c>
      <c r="B52" s="565">
        <v>7933135</v>
      </c>
    </row>
    <row r="53" spans="1:2">
      <c r="A53" s="563" t="s">
        <v>60</v>
      </c>
      <c r="B53" s="565">
        <v>8500000</v>
      </c>
    </row>
    <row r="54" spans="1:2">
      <c r="A54" s="563" t="s">
        <v>62</v>
      </c>
      <c r="B54" s="565">
        <v>2870000</v>
      </c>
    </row>
    <row r="55" spans="1:2">
      <c r="A55" s="563" t="s">
        <v>64</v>
      </c>
      <c r="B55" s="565">
        <v>15000000</v>
      </c>
    </row>
    <row r="56" spans="1:2">
      <c r="A56" s="563" t="s">
        <v>65</v>
      </c>
      <c r="B56" s="565">
        <v>0</v>
      </c>
    </row>
    <row r="57" spans="1:2">
      <c r="A57" s="563" t="s">
        <v>67</v>
      </c>
      <c r="B57" s="565">
        <v>3500000</v>
      </c>
    </row>
    <row r="58" spans="1:2">
      <c r="A58" s="563" t="s">
        <v>97</v>
      </c>
      <c r="B58" s="565">
        <v>1200000</v>
      </c>
    </row>
    <row r="59" spans="1:2">
      <c r="A59" s="563" t="s">
        <v>148</v>
      </c>
      <c r="B59" s="565">
        <v>1000000</v>
      </c>
    </row>
    <row r="60" spans="1:2">
      <c r="A60" s="563" t="s">
        <v>95</v>
      </c>
      <c r="B60" s="565">
        <v>12355000</v>
      </c>
    </row>
    <row r="61" spans="1:2">
      <c r="A61" s="563" t="s">
        <v>96</v>
      </c>
      <c r="B61" s="565">
        <v>12355000</v>
      </c>
    </row>
    <row r="62" spans="1:2">
      <c r="A62" s="563" t="s">
        <v>171</v>
      </c>
      <c r="B62" s="565">
        <v>829795078</v>
      </c>
    </row>
    <row r="63" spans="1:2">
      <c r="A63" s="562" t="s">
        <v>173</v>
      </c>
    </row>
  </sheetData>
  <pageMargins left="0.7" right="0.7" top="0.75" bottom="0.75" header="0.3" footer="0.3"/>
  <pageSetup paperSiz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3"/>
  <sheetViews>
    <sheetView topLeftCell="A24" workbookViewId="0">
      <selection activeCell="C30" sqref="C30:C45"/>
    </sheetView>
  </sheetViews>
  <sheetFormatPr baseColWidth="10" defaultRowHeight="14.25"/>
  <cols>
    <col min="1" max="1" width="11" style="1" customWidth="1"/>
    <col min="2" max="2" width="38.125" style="1" customWidth="1"/>
    <col min="3" max="3" width="21.875" style="258" bestFit="1" customWidth="1"/>
    <col min="4" max="16384" width="11" style="1"/>
  </cols>
  <sheetData>
    <row r="3" spans="1:3" ht="15.75">
      <c r="A3" s="668" t="s">
        <v>152</v>
      </c>
      <c r="B3" s="668"/>
      <c r="C3" s="668"/>
    </row>
    <row r="4" spans="1:3" ht="15.75">
      <c r="A4" s="668" t="s">
        <v>0</v>
      </c>
      <c r="B4" s="668"/>
      <c r="C4" s="668"/>
    </row>
    <row r="5" spans="1:3" ht="15.75">
      <c r="A5" s="668" t="s">
        <v>174</v>
      </c>
      <c r="B5" s="668"/>
      <c r="C5" s="668"/>
    </row>
    <row r="7" spans="1:3" ht="15" thickBot="1"/>
    <row r="8" spans="1:3" ht="45">
      <c r="A8" s="259" t="s">
        <v>153</v>
      </c>
      <c r="B8" s="260" t="s">
        <v>1</v>
      </c>
      <c r="C8" s="261" t="s">
        <v>154</v>
      </c>
    </row>
    <row r="9" spans="1:3" ht="20.25">
      <c r="A9" s="262">
        <v>2</v>
      </c>
      <c r="B9" s="263" t="s">
        <v>155</v>
      </c>
      <c r="C9" s="264">
        <f>+C11+C20+C24+C29+C46+C51+C62</f>
        <v>1155126065</v>
      </c>
    </row>
    <row r="10" spans="1:3" ht="15">
      <c r="A10" s="265"/>
      <c r="B10" s="266"/>
      <c r="C10" s="267"/>
    </row>
    <row r="11" spans="1:3" ht="15.75">
      <c r="A11" s="268" t="s">
        <v>4</v>
      </c>
      <c r="B11" s="269" t="s">
        <v>5</v>
      </c>
      <c r="C11" s="270">
        <f>SUM(C12:C19)</f>
        <v>650377324</v>
      </c>
    </row>
    <row r="12" spans="1:3">
      <c r="A12" s="271" t="s">
        <v>6</v>
      </c>
      <c r="B12" s="56" t="s">
        <v>7</v>
      </c>
      <c r="C12" s="272">
        <v>488231324</v>
      </c>
    </row>
    <row r="13" spans="1:3">
      <c r="A13" s="271" t="s">
        <v>10</v>
      </c>
      <c r="B13" s="56" t="s">
        <v>11</v>
      </c>
      <c r="C13" s="272">
        <v>1246000</v>
      </c>
    </row>
    <row r="14" spans="1:3">
      <c r="A14" s="271" t="s">
        <v>12</v>
      </c>
      <c r="B14" s="56" t="s">
        <v>13</v>
      </c>
      <c r="C14" s="272">
        <v>900000</v>
      </c>
    </row>
    <row r="15" spans="1:3">
      <c r="A15" s="271" t="s">
        <v>14</v>
      </c>
      <c r="B15" s="56" t="s">
        <v>15</v>
      </c>
      <c r="C15" s="272">
        <v>17000000</v>
      </c>
    </row>
    <row r="16" spans="1:3">
      <c r="A16" s="271" t="s">
        <v>16</v>
      </c>
      <c r="B16" s="56" t="s">
        <v>17</v>
      </c>
      <c r="C16" s="272">
        <v>24000000</v>
      </c>
    </row>
    <row r="17" spans="1:3">
      <c r="A17" s="271" t="s">
        <v>18</v>
      </c>
      <c r="B17" s="56" t="s">
        <v>19</v>
      </c>
      <c r="C17" s="272">
        <v>28000000</v>
      </c>
    </row>
    <row r="18" spans="1:3">
      <c r="A18" s="273">
        <v>2020110109</v>
      </c>
      <c r="B18" s="56" t="s">
        <v>20</v>
      </c>
      <c r="C18" s="272">
        <v>36000000</v>
      </c>
    </row>
    <row r="19" spans="1:3">
      <c r="A19" s="273">
        <v>2020110108</v>
      </c>
      <c r="B19" s="56" t="s">
        <v>21</v>
      </c>
      <c r="C19" s="272">
        <v>55000000</v>
      </c>
    </row>
    <row r="20" spans="1:3" ht="15.75">
      <c r="A20" s="268" t="s">
        <v>22</v>
      </c>
      <c r="B20" s="269" t="s">
        <v>23</v>
      </c>
      <c r="C20" s="274">
        <f>SUM(C21:C23)</f>
        <v>20000000</v>
      </c>
    </row>
    <row r="21" spans="1:3">
      <c r="A21" s="271" t="s">
        <v>24</v>
      </c>
      <c r="B21" s="57" t="s">
        <v>25</v>
      </c>
      <c r="C21" s="258">
        <v>20000000</v>
      </c>
    </row>
    <row r="22" spans="1:3">
      <c r="A22" s="271" t="s">
        <v>26</v>
      </c>
      <c r="B22" s="56" t="s">
        <v>27</v>
      </c>
      <c r="C22" s="267">
        <v>0</v>
      </c>
    </row>
    <row r="23" spans="1:3">
      <c r="A23" s="271" t="s">
        <v>28</v>
      </c>
      <c r="B23" s="58" t="s">
        <v>29</v>
      </c>
      <c r="C23" s="267">
        <v>0</v>
      </c>
    </row>
    <row r="24" spans="1:3" ht="15.75">
      <c r="A24" s="268" t="s">
        <v>30</v>
      </c>
      <c r="B24" s="275" t="s">
        <v>31</v>
      </c>
      <c r="C24" s="274">
        <f>SUM(C25:C28)</f>
        <v>21300000</v>
      </c>
    </row>
    <row r="25" spans="1:3">
      <c r="A25" s="271" t="s">
        <v>32</v>
      </c>
      <c r="B25" s="58" t="s">
        <v>33</v>
      </c>
      <c r="C25" s="267">
        <v>6000000</v>
      </c>
    </row>
    <row r="26" spans="1:3">
      <c r="A26" s="271" t="s">
        <v>34</v>
      </c>
      <c r="B26" s="59" t="s">
        <v>35</v>
      </c>
      <c r="C26" s="267">
        <v>14000000</v>
      </c>
    </row>
    <row r="27" spans="1:3">
      <c r="A27" s="271" t="s">
        <v>36</v>
      </c>
      <c r="B27" s="58" t="s">
        <v>37</v>
      </c>
      <c r="C27" s="267">
        <v>1300000</v>
      </c>
    </row>
    <row r="28" spans="1:3">
      <c r="A28" s="271" t="s">
        <v>38</v>
      </c>
      <c r="B28" s="58" t="s">
        <v>39</v>
      </c>
      <c r="C28" s="267">
        <v>0</v>
      </c>
    </row>
    <row r="29" spans="1:3" ht="15.75">
      <c r="A29" s="268" t="s">
        <v>40</v>
      </c>
      <c r="B29" s="275" t="s">
        <v>41</v>
      </c>
      <c r="C29" s="276">
        <f>SUM(C30:C45)</f>
        <v>127719000</v>
      </c>
    </row>
    <row r="30" spans="1:3">
      <c r="A30" s="271" t="s">
        <v>42</v>
      </c>
      <c r="B30" s="58" t="s">
        <v>43</v>
      </c>
      <c r="C30" s="267">
        <v>9000000</v>
      </c>
    </row>
    <row r="31" spans="1:3">
      <c r="A31" s="271">
        <v>2020120202</v>
      </c>
      <c r="B31" s="58" t="s">
        <v>44</v>
      </c>
      <c r="C31" s="267">
        <v>52500000</v>
      </c>
    </row>
    <row r="32" spans="1:3">
      <c r="A32" s="271" t="s">
        <v>45</v>
      </c>
      <c r="B32" s="58" t="s">
        <v>46</v>
      </c>
      <c r="C32" s="267">
        <v>2000000</v>
      </c>
    </row>
    <row r="33" spans="1:3">
      <c r="A33" s="271" t="s">
        <v>47</v>
      </c>
      <c r="B33" s="58" t="s">
        <v>48</v>
      </c>
      <c r="C33" s="267">
        <v>11619000</v>
      </c>
    </row>
    <row r="34" spans="1:3">
      <c r="A34" s="271" t="s">
        <v>49</v>
      </c>
      <c r="B34" s="58" t="s">
        <v>50</v>
      </c>
      <c r="C34" s="267">
        <v>8000000</v>
      </c>
    </row>
    <row r="35" spans="1:3">
      <c r="A35" s="271" t="s">
        <v>51</v>
      </c>
      <c r="B35" s="58" t="s">
        <v>52</v>
      </c>
      <c r="C35" s="267">
        <v>2500000</v>
      </c>
    </row>
    <row r="36" spans="1:3">
      <c r="A36" s="271" t="s">
        <v>53</v>
      </c>
      <c r="B36" s="59" t="s">
        <v>54</v>
      </c>
      <c r="C36" s="267">
        <v>1500000</v>
      </c>
    </row>
    <row r="37" spans="1:3">
      <c r="A37" s="271" t="s">
        <v>55</v>
      </c>
      <c r="B37" s="58" t="s">
        <v>56</v>
      </c>
      <c r="C37" s="267">
        <v>0</v>
      </c>
    </row>
    <row r="38" spans="1:3">
      <c r="A38" s="271" t="s">
        <v>57</v>
      </c>
      <c r="B38" s="58" t="s">
        <v>58</v>
      </c>
      <c r="C38" s="267">
        <v>9400000</v>
      </c>
    </row>
    <row r="39" spans="1:3">
      <c r="A39" s="271" t="s">
        <v>59</v>
      </c>
      <c r="B39" s="59" t="s">
        <v>60</v>
      </c>
      <c r="C39" s="267">
        <v>10000000</v>
      </c>
    </row>
    <row r="40" spans="1:3">
      <c r="A40" s="271" t="s">
        <v>61</v>
      </c>
      <c r="B40" s="58" t="s">
        <v>62</v>
      </c>
      <c r="C40" s="267">
        <v>4000000</v>
      </c>
    </row>
    <row r="41" spans="1:3">
      <c r="A41" s="271" t="s">
        <v>63</v>
      </c>
      <c r="B41" s="58" t="s">
        <v>64</v>
      </c>
      <c r="C41" s="267">
        <v>15000000</v>
      </c>
    </row>
    <row r="42" spans="1:3">
      <c r="A42" s="271">
        <v>2020120213</v>
      </c>
      <c r="B42" s="58" t="s">
        <v>65</v>
      </c>
      <c r="C42" s="267">
        <v>0</v>
      </c>
    </row>
    <row r="43" spans="1:3">
      <c r="A43" s="271" t="s">
        <v>66</v>
      </c>
      <c r="B43" s="58" t="s">
        <v>67</v>
      </c>
      <c r="C43" s="267">
        <v>0</v>
      </c>
    </row>
    <row r="44" spans="1:3">
      <c r="A44" s="273">
        <v>2020120215</v>
      </c>
      <c r="B44" s="58" t="s">
        <v>97</v>
      </c>
      <c r="C44" s="267">
        <v>1200000</v>
      </c>
    </row>
    <row r="45" spans="1:3">
      <c r="A45" s="273">
        <v>2020120216</v>
      </c>
      <c r="B45" s="277" t="s">
        <v>148</v>
      </c>
      <c r="C45" s="267">
        <v>1000000</v>
      </c>
    </row>
    <row r="46" spans="1:3" ht="35.25" customHeight="1">
      <c r="A46" s="268" t="s">
        <v>68</v>
      </c>
      <c r="B46" s="278" t="s">
        <v>69</v>
      </c>
      <c r="C46" s="279">
        <f>SUM(C47:C50)</f>
        <v>83629741</v>
      </c>
    </row>
    <row r="47" spans="1:3">
      <c r="A47" s="271" t="s">
        <v>70</v>
      </c>
      <c r="B47" s="58" t="s">
        <v>71</v>
      </c>
      <c r="C47" s="420">
        <v>16000083</v>
      </c>
    </row>
    <row r="48" spans="1:3">
      <c r="A48" s="271" t="s">
        <v>72</v>
      </c>
      <c r="B48" s="58" t="s">
        <v>73</v>
      </c>
      <c r="C48" s="420">
        <v>46429658</v>
      </c>
    </row>
    <row r="49" spans="1:3">
      <c r="A49" s="273">
        <v>2020110304</v>
      </c>
      <c r="B49" s="58" t="s">
        <v>74</v>
      </c>
      <c r="C49" s="420">
        <v>14000000</v>
      </c>
    </row>
    <row r="50" spans="1:3">
      <c r="A50" s="273">
        <v>2020110305</v>
      </c>
      <c r="B50" s="58" t="s">
        <v>75</v>
      </c>
      <c r="C50" s="420">
        <v>7200000</v>
      </c>
    </row>
    <row r="51" spans="1:3" ht="15.75">
      <c r="A51" s="268">
        <v>20201104</v>
      </c>
      <c r="B51" s="280" t="s">
        <v>76</v>
      </c>
      <c r="C51" s="281">
        <f>SUM(C52:C61)</f>
        <v>177100000</v>
      </c>
    </row>
    <row r="52" spans="1:3">
      <c r="A52" s="282" t="s">
        <v>77</v>
      </c>
      <c r="B52" s="58" t="s">
        <v>78</v>
      </c>
      <c r="C52" s="272">
        <v>56000000</v>
      </c>
    </row>
    <row r="53" spans="1:3">
      <c r="A53" s="271" t="s">
        <v>79</v>
      </c>
      <c r="B53" s="58" t="s">
        <v>73</v>
      </c>
      <c r="C53" s="272">
        <v>0</v>
      </c>
    </row>
    <row r="54" spans="1:3">
      <c r="A54" s="271" t="s">
        <v>80</v>
      </c>
      <c r="B54" s="58" t="s">
        <v>81</v>
      </c>
      <c r="C54" s="272">
        <v>3900000</v>
      </c>
    </row>
    <row r="55" spans="1:3">
      <c r="A55" s="271" t="s">
        <v>82</v>
      </c>
      <c r="B55" s="58" t="s">
        <v>74</v>
      </c>
      <c r="C55" s="272">
        <v>52000000</v>
      </c>
    </row>
    <row r="56" spans="1:3">
      <c r="A56" s="271" t="s">
        <v>83</v>
      </c>
      <c r="B56" s="58" t="s">
        <v>84</v>
      </c>
      <c r="C56" s="272">
        <v>27000000</v>
      </c>
    </row>
    <row r="57" spans="1:3">
      <c r="A57" s="271" t="s">
        <v>85</v>
      </c>
      <c r="B57" s="58" t="s">
        <v>86</v>
      </c>
      <c r="C57" s="272">
        <v>23000000</v>
      </c>
    </row>
    <row r="58" spans="1:3">
      <c r="A58" s="271" t="s">
        <v>87</v>
      </c>
      <c r="B58" s="58" t="s">
        <v>88</v>
      </c>
      <c r="C58" s="272">
        <v>4000000</v>
      </c>
    </row>
    <row r="59" spans="1:3">
      <c r="A59" s="271" t="s">
        <v>89</v>
      </c>
      <c r="B59" s="58" t="s">
        <v>90</v>
      </c>
      <c r="C59" s="272">
        <v>4000000</v>
      </c>
    </row>
    <row r="60" spans="1:3">
      <c r="A60" s="271" t="s">
        <v>91</v>
      </c>
      <c r="B60" s="58" t="s">
        <v>92</v>
      </c>
      <c r="C60" s="272">
        <v>7200000</v>
      </c>
    </row>
    <row r="61" spans="1:3">
      <c r="A61" s="271" t="s">
        <v>93</v>
      </c>
      <c r="B61" s="58" t="s">
        <v>94</v>
      </c>
      <c r="C61" s="272">
        <v>0</v>
      </c>
    </row>
    <row r="62" spans="1:3" ht="15.75">
      <c r="A62" s="283">
        <v>20201203</v>
      </c>
      <c r="B62" s="275" t="s">
        <v>95</v>
      </c>
      <c r="C62" s="276">
        <f>SUM(C63:C63)</f>
        <v>75000000</v>
      </c>
    </row>
    <row r="63" spans="1:3" ht="15" thickBot="1">
      <c r="A63" s="284">
        <v>2020130101</v>
      </c>
      <c r="B63" s="60" t="s">
        <v>96</v>
      </c>
      <c r="C63" s="285">
        <v>75000000</v>
      </c>
    </row>
  </sheetData>
  <mergeCells count="3">
    <mergeCell ref="A3:C3"/>
    <mergeCell ref="A4:C4"/>
    <mergeCell ref="A5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zoomScale="90" zoomScaleNormal="90" zoomScaleSheetLayoutView="30" workbookViewId="0">
      <selection activeCell="J228" sqref="J228"/>
    </sheetView>
  </sheetViews>
  <sheetFormatPr baseColWidth="10" defaultRowHeight="12.75"/>
  <cols>
    <col min="1" max="1" width="12.625" style="110" customWidth="1"/>
    <col min="2" max="2" width="43.375" style="13" customWidth="1"/>
    <col min="3" max="3" width="19" style="13" customWidth="1"/>
    <col min="4" max="5" width="13.125" style="13" customWidth="1"/>
    <col min="6" max="6" width="13.5" style="13" customWidth="1"/>
    <col min="7" max="7" width="21.25" style="13" customWidth="1"/>
    <col min="8" max="8" width="15.25" style="13" customWidth="1"/>
    <col min="9" max="9" width="15.625" style="13" customWidth="1"/>
    <col min="10" max="10" width="15.625" style="13" bestFit="1" customWidth="1"/>
    <col min="11" max="19" width="14.625" style="13" customWidth="1"/>
    <col min="20" max="20" width="15.875" style="13" bestFit="1" customWidth="1"/>
    <col min="21" max="21" width="11" style="13" customWidth="1"/>
    <col min="22" max="257" width="11" style="13"/>
    <col min="258" max="258" width="51" style="13" customWidth="1"/>
    <col min="259" max="259" width="19" style="13" customWidth="1"/>
    <col min="260" max="260" width="15.375" style="13" customWidth="1"/>
    <col min="261" max="261" width="14.5" style="13" customWidth="1"/>
    <col min="262" max="262" width="19.75" style="13" customWidth="1"/>
    <col min="263" max="263" width="20.5" style="13" customWidth="1"/>
    <col min="264" max="264" width="15.25" style="13" customWidth="1"/>
    <col min="265" max="265" width="15.625" style="13" customWidth="1"/>
    <col min="266" max="266" width="15.625" style="13" bestFit="1" customWidth="1"/>
    <col min="267" max="267" width="14.875" style="13" customWidth="1"/>
    <col min="268" max="268" width="15.625" style="13" bestFit="1" customWidth="1"/>
    <col min="269" max="269" width="15" style="13" customWidth="1"/>
    <col min="270" max="270" width="15.625" style="13" bestFit="1" customWidth="1"/>
    <col min="271" max="271" width="15.875" style="13" customWidth="1"/>
    <col min="272" max="272" width="16.25" style="13" customWidth="1"/>
    <col min="273" max="273" width="16.75" style="13" customWidth="1"/>
    <col min="274" max="274" width="14.875" style="13" customWidth="1"/>
    <col min="275" max="275" width="19.625" style="13" bestFit="1" customWidth="1"/>
    <col min="276" max="276" width="21.875" style="13" customWidth="1"/>
    <col min="277" max="513" width="11" style="13"/>
    <col min="514" max="514" width="51" style="13" customWidth="1"/>
    <col min="515" max="515" width="19" style="13" customWidth="1"/>
    <col min="516" max="516" width="15.375" style="13" customWidth="1"/>
    <col min="517" max="517" width="14.5" style="13" customWidth="1"/>
    <col min="518" max="518" width="19.75" style="13" customWidth="1"/>
    <col min="519" max="519" width="20.5" style="13" customWidth="1"/>
    <col min="520" max="520" width="15.25" style="13" customWidth="1"/>
    <col min="521" max="521" width="15.625" style="13" customWidth="1"/>
    <col min="522" max="522" width="15.625" style="13" bestFit="1" customWidth="1"/>
    <col min="523" max="523" width="14.875" style="13" customWidth="1"/>
    <col min="524" max="524" width="15.625" style="13" bestFit="1" customWidth="1"/>
    <col min="525" max="525" width="15" style="13" customWidth="1"/>
    <col min="526" max="526" width="15.625" style="13" bestFit="1" customWidth="1"/>
    <col min="527" max="527" width="15.875" style="13" customWidth="1"/>
    <col min="528" max="528" width="16.25" style="13" customWidth="1"/>
    <col min="529" max="529" width="16.75" style="13" customWidth="1"/>
    <col min="530" max="530" width="14.875" style="13" customWidth="1"/>
    <col min="531" max="531" width="19.625" style="13" bestFit="1" customWidth="1"/>
    <col min="532" max="532" width="21.875" style="13" customWidth="1"/>
    <col min="533" max="769" width="11" style="13"/>
    <col min="770" max="770" width="51" style="13" customWidth="1"/>
    <col min="771" max="771" width="19" style="13" customWidth="1"/>
    <col min="772" max="772" width="15.375" style="13" customWidth="1"/>
    <col min="773" max="773" width="14.5" style="13" customWidth="1"/>
    <col min="774" max="774" width="19.75" style="13" customWidth="1"/>
    <col min="775" max="775" width="20.5" style="13" customWidth="1"/>
    <col min="776" max="776" width="15.25" style="13" customWidth="1"/>
    <col min="777" max="777" width="15.625" style="13" customWidth="1"/>
    <col min="778" max="778" width="15.625" style="13" bestFit="1" customWidth="1"/>
    <col min="779" max="779" width="14.875" style="13" customWidth="1"/>
    <col min="780" max="780" width="15.625" style="13" bestFit="1" customWidth="1"/>
    <col min="781" max="781" width="15" style="13" customWidth="1"/>
    <col min="782" max="782" width="15.625" style="13" bestFit="1" customWidth="1"/>
    <col min="783" max="783" width="15.875" style="13" customWidth="1"/>
    <col min="784" max="784" width="16.25" style="13" customWidth="1"/>
    <col min="785" max="785" width="16.75" style="13" customWidth="1"/>
    <col min="786" max="786" width="14.875" style="13" customWidth="1"/>
    <col min="787" max="787" width="19.625" style="13" bestFit="1" customWidth="1"/>
    <col min="788" max="788" width="21.875" style="13" customWidth="1"/>
    <col min="789" max="1025" width="11" style="13"/>
    <col min="1026" max="1026" width="51" style="13" customWidth="1"/>
    <col min="1027" max="1027" width="19" style="13" customWidth="1"/>
    <col min="1028" max="1028" width="15.375" style="13" customWidth="1"/>
    <col min="1029" max="1029" width="14.5" style="13" customWidth="1"/>
    <col min="1030" max="1030" width="19.75" style="13" customWidth="1"/>
    <col min="1031" max="1031" width="20.5" style="13" customWidth="1"/>
    <col min="1032" max="1032" width="15.25" style="13" customWidth="1"/>
    <col min="1033" max="1033" width="15.625" style="13" customWidth="1"/>
    <col min="1034" max="1034" width="15.625" style="13" bestFit="1" customWidth="1"/>
    <col min="1035" max="1035" width="14.875" style="13" customWidth="1"/>
    <col min="1036" max="1036" width="15.625" style="13" bestFit="1" customWidth="1"/>
    <col min="1037" max="1037" width="15" style="13" customWidth="1"/>
    <col min="1038" max="1038" width="15.625" style="13" bestFit="1" customWidth="1"/>
    <col min="1039" max="1039" width="15.875" style="13" customWidth="1"/>
    <col min="1040" max="1040" width="16.25" style="13" customWidth="1"/>
    <col min="1041" max="1041" width="16.75" style="13" customWidth="1"/>
    <col min="1042" max="1042" width="14.875" style="13" customWidth="1"/>
    <col min="1043" max="1043" width="19.625" style="13" bestFit="1" customWidth="1"/>
    <col min="1044" max="1044" width="21.875" style="13" customWidth="1"/>
    <col min="1045" max="1281" width="11" style="13"/>
    <col min="1282" max="1282" width="51" style="13" customWidth="1"/>
    <col min="1283" max="1283" width="19" style="13" customWidth="1"/>
    <col min="1284" max="1284" width="15.375" style="13" customWidth="1"/>
    <col min="1285" max="1285" width="14.5" style="13" customWidth="1"/>
    <col min="1286" max="1286" width="19.75" style="13" customWidth="1"/>
    <col min="1287" max="1287" width="20.5" style="13" customWidth="1"/>
    <col min="1288" max="1288" width="15.25" style="13" customWidth="1"/>
    <col min="1289" max="1289" width="15.625" style="13" customWidth="1"/>
    <col min="1290" max="1290" width="15.625" style="13" bestFit="1" customWidth="1"/>
    <col min="1291" max="1291" width="14.875" style="13" customWidth="1"/>
    <col min="1292" max="1292" width="15.625" style="13" bestFit="1" customWidth="1"/>
    <col min="1293" max="1293" width="15" style="13" customWidth="1"/>
    <col min="1294" max="1294" width="15.625" style="13" bestFit="1" customWidth="1"/>
    <col min="1295" max="1295" width="15.875" style="13" customWidth="1"/>
    <col min="1296" max="1296" width="16.25" style="13" customWidth="1"/>
    <col min="1297" max="1297" width="16.75" style="13" customWidth="1"/>
    <col min="1298" max="1298" width="14.875" style="13" customWidth="1"/>
    <col min="1299" max="1299" width="19.625" style="13" bestFit="1" customWidth="1"/>
    <col min="1300" max="1300" width="21.875" style="13" customWidth="1"/>
    <col min="1301" max="1537" width="11" style="13"/>
    <col min="1538" max="1538" width="51" style="13" customWidth="1"/>
    <col min="1539" max="1539" width="19" style="13" customWidth="1"/>
    <col min="1540" max="1540" width="15.375" style="13" customWidth="1"/>
    <col min="1541" max="1541" width="14.5" style="13" customWidth="1"/>
    <col min="1542" max="1542" width="19.75" style="13" customWidth="1"/>
    <col min="1543" max="1543" width="20.5" style="13" customWidth="1"/>
    <col min="1544" max="1544" width="15.25" style="13" customWidth="1"/>
    <col min="1545" max="1545" width="15.625" style="13" customWidth="1"/>
    <col min="1546" max="1546" width="15.625" style="13" bestFit="1" customWidth="1"/>
    <col min="1547" max="1547" width="14.875" style="13" customWidth="1"/>
    <col min="1548" max="1548" width="15.625" style="13" bestFit="1" customWidth="1"/>
    <col min="1549" max="1549" width="15" style="13" customWidth="1"/>
    <col min="1550" max="1550" width="15.625" style="13" bestFit="1" customWidth="1"/>
    <col min="1551" max="1551" width="15.875" style="13" customWidth="1"/>
    <col min="1552" max="1552" width="16.25" style="13" customWidth="1"/>
    <col min="1553" max="1553" width="16.75" style="13" customWidth="1"/>
    <col min="1554" max="1554" width="14.875" style="13" customWidth="1"/>
    <col min="1555" max="1555" width="19.625" style="13" bestFit="1" customWidth="1"/>
    <col min="1556" max="1556" width="21.875" style="13" customWidth="1"/>
    <col min="1557" max="1793" width="11" style="13"/>
    <col min="1794" max="1794" width="51" style="13" customWidth="1"/>
    <col min="1795" max="1795" width="19" style="13" customWidth="1"/>
    <col min="1796" max="1796" width="15.375" style="13" customWidth="1"/>
    <col min="1797" max="1797" width="14.5" style="13" customWidth="1"/>
    <col min="1798" max="1798" width="19.75" style="13" customWidth="1"/>
    <col min="1799" max="1799" width="20.5" style="13" customWidth="1"/>
    <col min="1800" max="1800" width="15.25" style="13" customWidth="1"/>
    <col min="1801" max="1801" width="15.625" style="13" customWidth="1"/>
    <col min="1802" max="1802" width="15.625" style="13" bestFit="1" customWidth="1"/>
    <col min="1803" max="1803" width="14.875" style="13" customWidth="1"/>
    <col min="1804" max="1804" width="15.625" style="13" bestFit="1" customWidth="1"/>
    <col min="1805" max="1805" width="15" style="13" customWidth="1"/>
    <col min="1806" max="1806" width="15.625" style="13" bestFit="1" customWidth="1"/>
    <col min="1807" max="1807" width="15.875" style="13" customWidth="1"/>
    <col min="1808" max="1808" width="16.25" style="13" customWidth="1"/>
    <col min="1809" max="1809" width="16.75" style="13" customWidth="1"/>
    <col min="1810" max="1810" width="14.875" style="13" customWidth="1"/>
    <col min="1811" max="1811" width="19.625" style="13" bestFit="1" customWidth="1"/>
    <col min="1812" max="1812" width="21.875" style="13" customWidth="1"/>
    <col min="1813" max="2049" width="11" style="13"/>
    <col min="2050" max="2050" width="51" style="13" customWidth="1"/>
    <col min="2051" max="2051" width="19" style="13" customWidth="1"/>
    <col min="2052" max="2052" width="15.375" style="13" customWidth="1"/>
    <col min="2053" max="2053" width="14.5" style="13" customWidth="1"/>
    <col min="2054" max="2054" width="19.75" style="13" customWidth="1"/>
    <col min="2055" max="2055" width="20.5" style="13" customWidth="1"/>
    <col min="2056" max="2056" width="15.25" style="13" customWidth="1"/>
    <col min="2057" max="2057" width="15.625" style="13" customWidth="1"/>
    <col min="2058" max="2058" width="15.625" style="13" bestFit="1" customWidth="1"/>
    <col min="2059" max="2059" width="14.875" style="13" customWidth="1"/>
    <col min="2060" max="2060" width="15.625" style="13" bestFit="1" customWidth="1"/>
    <col min="2061" max="2061" width="15" style="13" customWidth="1"/>
    <col min="2062" max="2062" width="15.625" style="13" bestFit="1" customWidth="1"/>
    <col min="2063" max="2063" width="15.875" style="13" customWidth="1"/>
    <col min="2064" max="2064" width="16.25" style="13" customWidth="1"/>
    <col min="2065" max="2065" width="16.75" style="13" customWidth="1"/>
    <col min="2066" max="2066" width="14.875" style="13" customWidth="1"/>
    <col min="2067" max="2067" width="19.625" style="13" bestFit="1" customWidth="1"/>
    <col min="2068" max="2068" width="21.875" style="13" customWidth="1"/>
    <col min="2069" max="2305" width="11" style="13"/>
    <col min="2306" max="2306" width="51" style="13" customWidth="1"/>
    <col min="2307" max="2307" width="19" style="13" customWidth="1"/>
    <col min="2308" max="2308" width="15.375" style="13" customWidth="1"/>
    <col min="2309" max="2309" width="14.5" style="13" customWidth="1"/>
    <col min="2310" max="2310" width="19.75" style="13" customWidth="1"/>
    <col min="2311" max="2311" width="20.5" style="13" customWidth="1"/>
    <col min="2312" max="2312" width="15.25" style="13" customWidth="1"/>
    <col min="2313" max="2313" width="15.625" style="13" customWidth="1"/>
    <col min="2314" max="2314" width="15.625" style="13" bestFit="1" customWidth="1"/>
    <col min="2315" max="2315" width="14.875" style="13" customWidth="1"/>
    <col min="2316" max="2316" width="15.625" style="13" bestFit="1" customWidth="1"/>
    <col min="2317" max="2317" width="15" style="13" customWidth="1"/>
    <col min="2318" max="2318" width="15.625" style="13" bestFit="1" customWidth="1"/>
    <col min="2319" max="2319" width="15.875" style="13" customWidth="1"/>
    <col min="2320" max="2320" width="16.25" style="13" customWidth="1"/>
    <col min="2321" max="2321" width="16.75" style="13" customWidth="1"/>
    <col min="2322" max="2322" width="14.875" style="13" customWidth="1"/>
    <col min="2323" max="2323" width="19.625" style="13" bestFit="1" customWidth="1"/>
    <col min="2324" max="2324" width="21.875" style="13" customWidth="1"/>
    <col min="2325" max="2561" width="11" style="13"/>
    <col min="2562" max="2562" width="51" style="13" customWidth="1"/>
    <col min="2563" max="2563" width="19" style="13" customWidth="1"/>
    <col min="2564" max="2564" width="15.375" style="13" customWidth="1"/>
    <col min="2565" max="2565" width="14.5" style="13" customWidth="1"/>
    <col min="2566" max="2566" width="19.75" style="13" customWidth="1"/>
    <col min="2567" max="2567" width="20.5" style="13" customWidth="1"/>
    <col min="2568" max="2568" width="15.25" style="13" customWidth="1"/>
    <col min="2569" max="2569" width="15.625" style="13" customWidth="1"/>
    <col min="2570" max="2570" width="15.625" style="13" bestFit="1" customWidth="1"/>
    <col min="2571" max="2571" width="14.875" style="13" customWidth="1"/>
    <col min="2572" max="2572" width="15.625" style="13" bestFit="1" customWidth="1"/>
    <col min="2573" max="2573" width="15" style="13" customWidth="1"/>
    <col min="2574" max="2574" width="15.625" style="13" bestFit="1" customWidth="1"/>
    <col min="2575" max="2575" width="15.875" style="13" customWidth="1"/>
    <col min="2576" max="2576" width="16.25" style="13" customWidth="1"/>
    <col min="2577" max="2577" width="16.75" style="13" customWidth="1"/>
    <col min="2578" max="2578" width="14.875" style="13" customWidth="1"/>
    <col min="2579" max="2579" width="19.625" style="13" bestFit="1" customWidth="1"/>
    <col min="2580" max="2580" width="21.875" style="13" customWidth="1"/>
    <col min="2581" max="2817" width="11" style="13"/>
    <col min="2818" max="2818" width="51" style="13" customWidth="1"/>
    <col min="2819" max="2819" width="19" style="13" customWidth="1"/>
    <col min="2820" max="2820" width="15.375" style="13" customWidth="1"/>
    <col min="2821" max="2821" width="14.5" style="13" customWidth="1"/>
    <col min="2822" max="2822" width="19.75" style="13" customWidth="1"/>
    <col min="2823" max="2823" width="20.5" style="13" customWidth="1"/>
    <col min="2824" max="2824" width="15.25" style="13" customWidth="1"/>
    <col min="2825" max="2825" width="15.625" style="13" customWidth="1"/>
    <col min="2826" max="2826" width="15.625" style="13" bestFit="1" customWidth="1"/>
    <col min="2827" max="2827" width="14.875" style="13" customWidth="1"/>
    <col min="2828" max="2828" width="15.625" style="13" bestFit="1" customWidth="1"/>
    <col min="2829" max="2829" width="15" style="13" customWidth="1"/>
    <col min="2830" max="2830" width="15.625" style="13" bestFit="1" customWidth="1"/>
    <col min="2831" max="2831" width="15.875" style="13" customWidth="1"/>
    <col min="2832" max="2832" width="16.25" style="13" customWidth="1"/>
    <col min="2833" max="2833" width="16.75" style="13" customWidth="1"/>
    <col min="2834" max="2834" width="14.875" style="13" customWidth="1"/>
    <col min="2835" max="2835" width="19.625" style="13" bestFit="1" customWidth="1"/>
    <col min="2836" max="2836" width="21.875" style="13" customWidth="1"/>
    <col min="2837" max="3073" width="11" style="13"/>
    <col min="3074" max="3074" width="51" style="13" customWidth="1"/>
    <col min="3075" max="3075" width="19" style="13" customWidth="1"/>
    <col min="3076" max="3076" width="15.375" style="13" customWidth="1"/>
    <col min="3077" max="3077" width="14.5" style="13" customWidth="1"/>
    <col min="3078" max="3078" width="19.75" style="13" customWidth="1"/>
    <col min="3079" max="3079" width="20.5" style="13" customWidth="1"/>
    <col min="3080" max="3080" width="15.25" style="13" customWidth="1"/>
    <col min="3081" max="3081" width="15.625" style="13" customWidth="1"/>
    <col min="3082" max="3082" width="15.625" style="13" bestFit="1" customWidth="1"/>
    <col min="3083" max="3083" width="14.875" style="13" customWidth="1"/>
    <col min="3084" max="3084" width="15.625" style="13" bestFit="1" customWidth="1"/>
    <col min="3085" max="3085" width="15" style="13" customWidth="1"/>
    <col min="3086" max="3086" width="15.625" style="13" bestFit="1" customWidth="1"/>
    <col min="3087" max="3087" width="15.875" style="13" customWidth="1"/>
    <col min="3088" max="3088" width="16.25" style="13" customWidth="1"/>
    <col min="3089" max="3089" width="16.75" style="13" customWidth="1"/>
    <col min="3090" max="3090" width="14.875" style="13" customWidth="1"/>
    <col min="3091" max="3091" width="19.625" style="13" bestFit="1" customWidth="1"/>
    <col min="3092" max="3092" width="21.875" style="13" customWidth="1"/>
    <col min="3093" max="3329" width="11" style="13"/>
    <col min="3330" max="3330" width="51" style="13" customWidth="1"/>
    <col min="3331" max="3331" width="19" style="13" customWidth="1"/>
    <col min="3332" max="3332" width="15.375" style="13" customWidth="1"/>
    <col min="3333" max="3333" width="14.5" style="13" customWidth="1"/>
    <col min="3334" max="3334" width="19.75" style="13" customWidth="1"/>
    <col min="3335" max="3335" width="20.5" style="13" customWidth="1"/>
    <col min="3336" max="3336" width="15.25" style="13" customWidth="1"/>
    <col min="3337" max="3337" width="15.625" style="13" customWidth="1"/>
    <col min="3338" max="3338" width="15.625" style="13" bestFit="1" customWidth="1"/>
    <col min="3339" max="3339" width="14.875" style="13" customWidth="1"/>
    <col min="3340" max="3340" width="15.625" style="13" bestFit="1" customWidth="1"/>
    <col min="3341" max="3341" width="15" style="13" customWidth="1"/>
    <col min="3342" max="3342" width="15.625" style="13" bestFit="1" customWidth="1"/>
    <col min="3343" max="3343" width="15.875" style="13" customWidth="1"/>
    <col min="3344" max="3344" width="16.25" style="13" customWidth="1"/>
    <col min="3345" max="3345" width="16.75" style="13" customWidth="1"/>
    <col min="3346" max="3346" width="14.875" style="13" customWidth="1"/>
    <col min="3347" max="3347" width="19.625" style="13" bestFit="1" customWidth="1"/>
    <col min="3348" max="3348" width="21.875" style="13" customWidth="1"/>
    <col min="3349" max="3585" width="11" style="13"/>
    <col min="3586" max="3586" width="51" style="13" customWidth="1"/>
    <col min="3587" max="3587" width="19" style="13" customWidth="1"/>
    <col min="3588" max="3588" width="15.375" style="13" customWidth="1"/>
    <col min="3589" max="3589" width="14.5" style="13" customWidth="1"/>
    <col min="3590" max="3590" width="19.75" style="13" customWidth="1"/>
    <col min="3591" max="3591" width="20.5" style="13" customWidth="1"/>
    <col min="3592" max="3592" width="15.25" style="13" customWidth="1"/>
    <col min="3593" max="3593" width="15.625" style="13" customWidth="1"/>
    <col min="3594" max="3594" width="15.625" style="13" bestFit="1" customWidth="1"/>
    <col min="3595" max="3595" width="14.875" style="13" customWidth="1"/>
    <col min="3596" max="3596" width="15.625" style="13" bestFit="1" customWidth="1"/>
    <col min="3597" max="3597" width="15" style="13" customWidth="1"/>
    <col min="3598" max="3598" width="15.625" style="13" bestFit="1" customWidth="1"/>
    <col min="3599" max="3599" width="15.875" style="13" customWidth="1"/>
    <col min="3600" max="3600" width="16.25" style="13" customWidth="1"/>
    <col min="3601" max="3601" width="16.75" style="13" customWidth="1"/>
    <col min="3602" max="3602" width="14.875" style="13" customWidth="1"/>
    <col min="3603" max="3603" width="19.625" style="13" bestFit="1" customWidth="1"/>
    <col min="3604" max="3604" width="21.875" style="13" customWidth="1"/>
    <col min="3605" max="3841" width="11" style="13"/>
    <col min="3842" max="3842" width="51" style="13" customWidth="1"/>
    <col min="3843" max="3843" width="19" style="13" customWidth="1"/>
    <col min="3844" max="3844" width="15.375" style="13" customWidth="1"/>
    <col min="3845" max="3845" width="14.5" style="13" customWidth="1"/>
    <col min="3846" max="3846" width="19.75" style="13" customWidth="1"/>
    <col min="3847" max="3847" width="20.5" style="13" customWidth="1"/>
    <col min="3848" max="3848" width="15.25" style="13" customWidth="1"/>
    <col min="3849" max="3849" width="15.625" style="13" customWidth="1"/>
    <col min="3850" max="3850" width="15.625" style="13" bestFit="1" customWidth="1"/>
    <col min="3851" max="3851" width="14.875" style="13" customWidth="1"/>
    <col min="3852" max="3852" width="15.625" style="13" bestFit="1" customWidth="1"/>
    <col min="3853" max="3853" width="15" style="13" customWidth="1"/>
    <col min="3854" max="3854" width="15.625" style="13" bestFit="1" customWidth="1"/>
    <col min="3855" max="3855" width="15.875" style="13" customWidth="1"/>
    <col min="3856" max="3856" width="16.25" style="13" customWidth="1"/>
    <col min="3857" max="3857" width="16.75" style="13" customWidth="1"/>
    <col min="3858" max="3858" width="14.875" style="13" customWidth="1"/>
    <col min="3859" max="3859" width="19.625" style="13" bestFit="1" customWidth="1"/>
    <col min="3860" max="3860" width="21.875" style="13" customWidth="1"/>
    <col min="3861" max="4097" width="11" style="13"/>
    <col min="4098" max="4098" width="51" style="13" customWidth="1"/>
    <col min="4099" max="4099" width="19" style="13" customWidth="1"/>
    <col min="4100" max="4100" width="15.375" style="13" customWidth="1"/>
    <col min="4101" max="4101" width="14.5" style="13" customWidth="1"/>
    <col min="4102" max="4102" width="19.75" style="13" customWidth="1"/>
    <col min="4103" max="4103" width="20.5" style="13" customWidth="1"/>
    <col min="4104" max="4104" width="15.25" style="13" customWidth="1"/>
    <col min="4105" max="4105" width="15.625" style="13" customWidth="1"/>
    <col min="4106" max="4106" width="15.625" style="13" bestFit="1" customWidth="1"/>
    <col min="4107" max="4107" width="14.875" style="13" customWidth="1"/>
    <col min="4108" max="4108" width="15.625" style="13" bestFit="1" customWidth="1"/>
    <col min="4109" max="4109" width="15" style="13" customWidth="1"/>
    <col min="4110" max="4110" width="15.625" style="13" bestFit="1" customWidth="1"/>
    <col min="4111" max="4111" width="15.875" style="13" customWidth="1"/>
    <col min="4112" max="4112" width="16.25" style="13" customWidth="1"/>
    <col min="4113" max="4113" width="16.75" style="13" customWidth="1"/>
    <col min="4114" max="4114" width="14.875" style="13" customWidth="1"/>
    <col min="4115" max="4115" width="19.625" style="13" bestFit="1" customWidth="1"/>
    <col min="4116" max="4116" width="21.875" style="13" customWidth="1"/>
    <col min="4117" max="4353" width="11" style="13"/>
    <col min="4354" max="4354" width="51" style="13" customWidth="1"/>
    <col min="4355" max="4355" width="19" style="13" customWidth="1"/>
    <col min="4356" max="4356" width="15.375" style="13" customWidth="1"/>
    <col min="4357" max="4357" width="14.5" style="13" customWidth="1"/>
    <col min="4358" max="4358" width="19.75" style="13" customWidth="1"/>
    <col min="4359" max="4359" width="20.5" style="13" customWidth="1"/>
    <col min="4360" max="4360" width="15.25" style="13" customWidth="1"/>
    <col min="4361" max="4361" width="15.625" style="13" customWidth="1"/>
    <col min="4362" max="4362" width="15.625" style="13" bestFit="1" customWidth="1"/>
    <col min="4363" max="4363" width="14.875" style="13" customWidth="1"/>
    <col min="4364" max="4364" width="15.625" style="13" bestFit="1" customWidth="1"/>
    <col min="4365" max="4365" width="15" style="13" customWidth="1"/>
    <col min="4366" max="4366" width="15.625" style="13" bestFit="1" customWidth="1"/>
    <col min="4367" max="4367" width="15.875" style="13" customWidth="1"/>
    <col min="4368" max="4368" width="16.25" style="13" customWidth="1"/>
    <col min="4369" max="4369" width="16.75" style="13" customWidth="1"/>
    <col min="4370" max="4370" width="14.875" style="13" customWidth="1"/>
    <col min="4371" max="4371" width="19.625" style="13" bestFit="1" customWidth="1"/>
    <col min="4372" max="4372" width="21.875" style="13" customWidth="1"/>
    <col min="4373" max="4609" width="11" style="13"/>
    <col min="4610" max="4610" width="51" style="13" customWidth="1"/>
    <col min="4611" max="4611" width="19" style="13" customWidth="1"/>
    <col min="4612" max="4612" width="15.375" style="13" customWidth="1"/>
    <col min="4613" max="4613" width="14.5" style="13" customWidth="1"/>
    <col min="4614" max="4614" width="19.75" style="13" customWidth="1"/>
    <col min="4615" max="4615" width="20.5" style="13" customWidth="1"/>
    <col min="4616" max="4616" width="15.25" style="13" customWidth="1"/>
    <col min="4617" max="4617" width="15.625" style="13" customWidth="1"/>
    <col min="4618" max="4618" width="15.625" style="13" bestFit="1" customWidth="1"/>
    <col min="4619" max="4619" width="14.875" style="13" customWidth="1"/>
    <col min="4620" max="4620" width="15.625" style="13" bestFit="1" customWidth="1"/>
    <col min="4621" max="4621" width="15" style="13" customWidth="1"/>
    <col min="4622" max="4622" width="15.625" style="13" bestFit="1" customWidth="1"/>
    <col min="4623" max="4623" width="15.875" style="13" customWidth="1"/>
    <col min="4624" max="4624" width="16.25" style="13" customWidth="1"/>
    <col min="4625" max="4625" width="16.75" style="13" customWidth="1"/>
    <col min="4626" max="4626" width="14.875" style="13" customWidth="1"/>
    <col min="4627" max="4627" width="19.625" style="13" bestFit="1" customWidth="1"/>
    <col min="4628" max="4628" width="21.875" style="13" customWidth="1"/>
    <col min="4629" max="4865" width="11" style="13"/>
    <col min="4866" max="4866" width="51" style="13" customWidth="1"/>
    <col min="4867" max="4867" width="19" style="13" customWidth="1"/>
    <col min="4868" max="4868" width="15.375" style="13" customWidth="1"/>
    <col min="4869" max="4869" width="14.5" style="13" customWidth="1"/>
    <col min="4870" max="4870" width="19.75" style="13" customWidth="1"/>
    <col min="4871" max="4871" width="20.5" style="13" customWidth="1"/>
    <col min="4872" max="4872" width="15.25" style="13" customWidth="1"/>
    <col min="4873" max="4873" width="15.625" style="13" customWidth="1"/>
    <col min="4874" max="4874" width="15.625" style="13" bestFit="1" customWidth="1"/>
    <col min="4875" max="4875" width="14.875" style="13" customWidth="1"/>
    <col min="4876" max="4876" width="15.625" style="13" bestFit="1" customWidth="1"/>
    <col min="4877" max="4877" width="15" style="13" customWidth="1"/>
    <col min="4878" max="4878" width="15.625" style="13" bestFit="1" customWidth="1"/>
    <col min="4879" max="4879" width="15.875" style="13" customWidth="1"/>
    <col min="4880" max="4880" width="16.25" style="13" customWidth="1"/>
    <col min="4881" max="4881" width="16.75" style="13" customWidth="1"/>
    <col min="4882" max="4882" width="14.875" style="13" customWidth="1"/>
    <col min="4883" max="4883" width="19.625" style="13" bestFit="1" customWidth="1"/>
    <col min="4884" max="4884" width="21.875" style="13" customWidth="1"/>
    <col min="4885" max="5121" width="11" style="13"/>
    <col min="5122" max="5122" width="51" style="13" customWidth="1"/>
    <col min="5123" max="5123" width="19" style="13" customWidth="1"/>
    <col min="5124" max="5124" width="15.375" style="13" customWidth="1"/>
    <col min="5125" max="5125" width="14.5" style="13" customWidth="1"/>
    <col min="5126" max="5126" width="19.75" style="13" customWidth="1"/>
    <col min="5127" max="5127" width="20.5" style="13" customWidth="1"/>
    <col min="5128" max="5128" width="15.25" style="13" customWidth="1"/>
    <col min="5129" max="5129" width="15.625" style="13" customWidth="1"/>
    <col min="5130" max="5130" width="15.625" style="13" bestFit="1" customWidth="1"/>
    <col min="5131" max="5131" width="14.875" style="13" customWidth="1"/>
    <col min="5132" max="5132" width="15.625" style="13" bestFit="1" customWidth="1"/>
    <col min="5133" max="5133" width="15" style="13" customWidth="1"/>
    <col min="5134" max="5134" width="15.625" style="13" bestFit="1" customWidth="1"/>
    <col min="5135" max="5135" width="15.875" style="13" customWidth="1"/>
    <col min="5136" max="5136" width="16.25" style="13" customWidth="1"/>
    <col min="5137" max="5137" width="16.75" style="13" customWidth="1"/>
    <col min="5138" max="5138" width="14.875" style="13" customWidth="1"/>
    <col min="5139" max="5139" width="19.625" style="13" bestFit="1" customWidth="1"/>
    <col min="5140" max="5140" width="21.875" style="13" customWidth="1"/>
    <col min="5141" max="5377" width="11" style="13"/>
    <col min="5378" max="5378" width="51" style="13" customWidth="1"/>
    <col min="5379" max="5379" width="19" style="13" customWidth="1"/>
    <col min="5380" max="5380" width="15.375" style="13" customWidth="1"/>
    <col min="5381" max="5381" width="14.5" style="13" customWidth="1"/>
    <col min="5382" max="5382" width="19.75" style="13" customWidth="1"/>
    <col min="5383" max="5383" width="20.5" style="13" customWidth="1"/>
    <col min="5384" max="5384" width="15.25" style="13" customWidth="1"/>
    <col min="5385" max="5385" width="15.625" style="13" customWidth="1"/>
    <col min="5386" max="5386" width="15.625" style="13" bestFit="1" customWidth="1"/>
    <col min="5387" max="5387" width="14.875" style="13" customWidth="1"/>
    <col min="5388" max="5388" width="15.625" style="13" bestFit="1" customWidth="1"/>
    <col min="5389" max="5389" width="15" style="13" customWidth="1"/>
    <col min="5390" max="5390" width="15.625" style="13" bestFit="1" customWidth="1"/>
    <col min="5391" max="5391" width="15.875" style="13" customWidth="1"/>
    <col min="5392" max="5392" width="16.25" style="13" customWidth="1"/>
    <col min="5393" max="5393" width="16.75" style="13" customWidth="1"/>
    <col min="5394" max="5394" width="14.875" style="13" customWidth="1"/>
    <col min="5395" max="5395" width="19.625" style="13" bestFit="1" customWidth="1"/>
    <col min="5396" max="5396" width="21.875" style="13" customWidth="1"/>
    <col min="5397" max="5633" width="11" style="13"/>
    <col min="5634" max="5634" width="51" style="13" customWidth="1"/>
    <col min="5635" max="5635" width="19" style="13" customWidth="1"/>
    <col min="5636" max="5636" width="15.375" style="13" customWidth="1"/>
    <col min="5637" max="5637" width="14.5" style="13" customWidth="1"/>
    <col min="5638" max="5638" width="19.75" style="13" customWidth="1"/>
    <col min="5639" max="5639" width="20.5" style="13" customWidth="1"/>
    <col min="5640" max="5640" width="15.25" style="13" customWidth="1"/>
    <col min="5641" max="5641" width="15.625" style="13" customWidth="1"/>
    <col min="5642" max="5642" width="15.625" style="13" bestFit="1" customWidth="1"/>
    <col min="5643" max="5643" width="14.875" style="13" customWidth="1"/>
    <col min="5644" max="5644" width="15.625" style="13" bestFit="1" customWidth="1"/>
    <col min="5645" max="5645" width="15" style="13" customWidth="1"/>
    <col min="5646" max="5646" width="15.625" style="13" bestFit="1" customWidth="1"/>
    <col min="5647" max="5647" width="15.875" style="13" customWidth="1"/>
    <col min="5648" max="5648" width="16.25" style="13" customWidth="1"/>
    <col min="5649" max="5649" width="16.75" style="13" customWidth="1"/>
    <col min="5650" max="5650" width="14.875" style="13" customWidth="1"/>
    <col min="5651" max="5651" width="19.625" style="13" bestFit="1" customWidth="1"/>
    <col min="5652" max="5652" width="21.875" style="13" customWidth="1"/>
    <col min="5653" max="5889" width="11" style="13"/>
    <col min="5890" max="5890" width="51" style="13" customWidth="1"/>
    <col min="5891" max="5891" width="19" style="13" customWidth="1"/>
    <col min="5892" max="5892" width="15.375" style="13" customWidth="1"/>
    <col min="5893" max="5893" width="14.5" style="13" customWidth="1"/>
    <col min="5894" max="5894" width="19.75" style="13" customWidth="1"/>
    <col min="5895" max="5895" width="20.5" style="13" customWidth="1"/>
    <col min="5896" max="5896" width="15.25" style="13" customWidth="1"/>
    <col min="5897" max="5897" width="15.625" style="13" customWidth="1"/>
    <col min="5898" max="5898" width="15.625" style="13" bestFit="1" customWidth="1"/>
    <col min="5899" max="5899" width="14.875" style="13" customWidth="1"/>
    <col min="5900" max="5900" width="15.625" style="13" bestFit="1" customWidth="1"/>
    <col min="5901" max="5901" width="15" style="13" customWidth="1"/>
    <col min="5902" max="5902" width="15.625" style="13" bestFit="1" customWidth="1"/>
    <col min="5903" max="5903" width="15.875" style="13" customWidth="1"/>
    <col min="5904" max="5904" width="16.25" style="13" customWidth="1"/>
    <col min="5905" max="5905" width="16.75" style="13" customWidth="1"/>
    <col min="5906" max="5906" width="14.875" style="13" customWidth="1"/>
    <col min="5907" max="5907" width="19.625" style="13" bestFit="1" customWidth="1"/>
    <col min="5908" max="5908" width="21.875" style="13" customWidth="1"/>
    <col min="5909" max="6145" width="11" style="13"/>
    <col min="6146" max="6146" width="51" style="13" customWidth="1"/>
    <col min="6147" max="6147" width="19" style="13" customWidth="1"/>
    <col min="6148" max="6148" width="15.375" style="13" customWidth="1"/>
    <col min="6149" max="6149" width="14.5" style="13" customWidth="1"/>
    <col min="6150" max="6150" width="19.75" style="13" customWidth="1"/>
    <col min="6151" max="6151" width="20.5" style="13" customWidth="1"/>
    <col min="6152" max="6152" width="15.25" style="13" customWidth="1"/>
    <col min="6153" max="6153" width="15.625" style="13" customWidth="1"/>
    <col min="6154" max="6154" width="15.625" style="13" bestFit="1" customWidth="1"/>
    <col min="6155" max="6155" width="14.875" style="13" customWidth="1"/>
    <col min="6156" max="6156" width="15.625" style="13" bestFit="1" customWidth="1"/>
    <col min="6157" max="6157" width="15" style="13" customWidth="1"/>
    <col min="6158" max="6158" width="15.625" style="13" bestFit="1" customWidth="1"/>
    <col min="6159" max="6159" width="15.875" style="13" customWidth="1"/>
    <col min="6160" max="6160" width="16.25" style="13" customWidth="1"/>
    <col min="6161" max="6161" width="16.75" style="13" customWidth="1"/>
    <col min="6162" max="6162" width="14.875" style="13" customWidth="1"/>
    <col min="6163" max="6163" width="19.625" style="13" bestFit="1" customWidth="1"/>
    <col min="6164" max="6164" width="21.875" style="13" customWidth="1"/>
    <col min="6165" max="6401" width="11" style="13"/>
    <col min="6402" max="6402" width="51" style="13" customWidth="1"/>
    <col min="6403" max="6403" width="19" style="13" customWidth="1"/>
    <col min="6404" max="6404" width="15.375" style="13" customWidth="1"/>
    <col min="6405" max="6405" width="14.5" style="13" customWidth="1"/>
    <col min="6406" max="6406" width="19.75" style="13" customWidth="1"/>
    <col min="6407" max="6407" width="20.5" style="13" customWidth="1"/>
    <col min="6408" max="6408" width="15.25" style="13" customWidth="1"/>
    <col min="6409" max="6409" width="15.625" style="13" customWidth="1"/>
    <col min="6410" max="6410" width="15.625" style="13" bestFit="1" customWidth="1"/>
    <col min="6411" max="6411" width="14.875" style="13" customWidth="1"/>
    <col min="6412" max="6412" width="15.625" style="13" bestFit="1" customWidth="1"/>
    <col min="6413" max="6413" width="15" style="13" customWidth="1"/>
    <col min="6414" max="6414" width="15.625" style="13" bestFit="1" customWidth="1"/>
    <col min="6415" max="6415" width="15.875" style="13" customWidth="1"/>
    <col min="6416" max="6416" width="16.25" style="13" customWidth="1"/>
    <col min="6417" max="6417" width="16.75" style="13" customWidth="1"/>
    <col min="6418" max="6418" width="14.875" style="13" customWidth="1"/>
    <col min="6419" max="6419" width="19.625" style="13" bestFit="1" customWidth="1"/>
    <col min="6420" max="6420" width="21.875" style="13" customWidth="1"/>
    <col min="6421" max="6657" width="11" style="13"/>
    <col min="6658" max="6658" width="51" style="13" customWidth="1"/>
    <col min="6659" max="6659" width="19" style="13" customWidth="1"/>
    <col min="6660" max="6660" width="15.375" style="13" customWidth="1"/>
    <col min="6661" max="6661" width="14.5" style="13" customWidth="1"/>
    <col min="6662" max="6662" width="19.75" style="13" customWidth="1"/>
    <col min="6663" max="6663" width="20.5" style="13" customWidth="1"/>
    <col min="6664" max="6664" width="15.25" style="13" customWidth="1"/>
    <col min="6665" max="6665" width="15.625" style="13" customWidth="1"/>
    <col min="6666" max="6666" width="15.625" style="13" bestFit="1" customWidth="1"/>
    <col min="6667" max="6667" width="14.875" style="13" customWidth="1"/>
    <col min="6668" max="6668" width="15.625" style="13" bestFit="1" customWidth="1"/>
    <col min="6669" max="6669" width="15" style="13" customWidth="1"/>
    <col min="6670" max="6670" width="15.625" style="13" bestFit="1" customWidth="1"/>
    <col min="6671" max="6671" width="15.875" style="13" customWidth="1"/>
    <col min="6672" max="6672" width="16.25" style="13" customWidth="1"/>
    <col min="6673" max="6673" width="16.75" style="13" customWidth="1"/>
    <col min="6674" max="6674" width="14.875" style="13" customWidth="1"/>
    <col min="6675" max="6675" width="19.625" style="13" bestFit="1" customWidth="1"/>
    <col min="6676" max="6676" width="21.875" style="13" customWidth="1"/>
    <col min="6677" max="6913" width="11" style="13"/>
    <col min="6914" max="6914" width="51" style="13" customWidth="1"/>
    <col min="6915" max="6915" width="19" style="13" customWidth="1"/>
    <col min="6916" max="6916" width="15.375" style="13" customWidth="1"/>
    <col min="6917" max="6917" width="14.5" style="13" customWidth="1"/>
    <col min="6918" max="6918" width="19.75" style="13" customWidth="1"/>
    <col min="6919" max="6919" width="20.5" style="13" customWidth="1"/>
    <col min="6920" max="6920" width="15.25" style="13" customWidth="1"/>
    <col min="6921" max="6921" width="15.625" style="13" customWidth="1"/>
    <col min="6922" max="6922" width="15.625" style="13" bestFit="1" customWidth="1"/>
    <col min="6923" max="6923" width="14.875" style="13" customWidth="1"/>
    <col min="6924" max="6924" width="15.625" style="13" bestFit="1" customWidth="1"/>
    <col min="6925" max="6925" width="15" style="13" customWidth="1"/>
    <col min="6926" max="6926" width="15.625" style="13" bestFit="1" customWidth="1"/>
    <col min="6927" max="6927" width="15.875" style="13" customWidth="1"/>
    <col min="6928" max="6928" width="16.25" style="13" customWidth="1"/>
    <col min="6929" max="6929" width="16.75" style="13" customWidth="1"/>
    <col min="6930" max="6930" width="14.875" style="13" customWidth="1"/>
    <col min="6931" max="6931" width="19.625" style="13" bestFit="1" customWidth="1"/>
    <col min="6932" max="6932" width="21.875" style="13" customWidth="1"/>
    <col min="6933" max="7169" width="11" style="13"/>
    <col min="7170" max="7170" width="51" style="13" customWidth="1"/>
    <col min="7171" max="7171" width="19" style="13" customWidth="1"/>
    <col min="7172" max="7172" width="15.375" style="13" customWidth="1"/>
    <col min="7173" max="7173" width="14.5" style="13" customWidth="1"/>
    <col min="7174" max="7174" width="19.75" style="13" customWidth="1"/>
    <col min="7175" max="7175" width="20.5" style="13" customWidth="1"/>
    <col min="7176" max="7176" width="15.25" style="13" customWidth="1"/>
    <col min="7177" max="7177" width="15.625" style="13" customWidth="1"/>
    <col min="7178" max="7178" width="15.625" style="13" bestFit="1" customWidth="1"/>
    <col min="7179" max="7179" width="14.875" style="13" customWidth="1"/>
    <col min="7180" max="7180" width="15.625" style="13" bestFit="1" customWidth="1"/>
    <col min="7181" max="7181" width="15" style="13" customWidth="1"/>
    <col min="7182" max="7182" width="15.625" style="13" bestFit="1" customWidth="1"/>
    <col min="7183" max="7183" width="15.875" style="13" customWidth="1"/>
    <col min="7184" max="7184" width="16.25" style="13" customWidth="1"/>
    <col min="7185" max="7185" width="16.75" style="13" customWidth="1"/>
    <col min="7186" max="7186" width="14.875" style="13" customWidth="1"/>
    <col min="7187" max="7187" width="19.625" style="13" bestFit="1" customWidth="1"/>
    <col min="7188" max="7188" width="21.875" style="13" customWidth="1"/>
    <col min="7189" max="7425" width="11" style="13"/>
    <col min="7426" max="7426" width="51" style="13" customWidth="1"/>
    <col min="7427" max="7427" width="19" style="13" customWidth="1"/>
    <col min="7428" max="7428" width="15.375" style="13" customWidth="1"/>
    <col min="7429" max="7429" width="14.5" style="13" customWidth="1"/>
    <col min="7430" max="7430" width="19.75" style="13" customWidth="1"/>
    <col min="7431" max="7431" width="20.5" style="13" customWidth="1"/>
    <col min="7432" max="7432" width="15.25" style="13" customWidth="1"/>
    <col min="7433" max="7433" width="15.625" style="13" customWidth="1"/>
    <col min="7434" max="7434" width="15.625" style="13" bestFit="1" customWidth="1"/>
    <col min="7435" max="7435" width="14.875" style="13" customWidth="1"/>
    <col min="7436" max="7436" width="15.625" style="13" bestFit="1" customWidth="1"/>
    <col min="7437" max="7437" width="15" style="13" customWidth="1"/>
    <col min="7438" max="7438" width="15.625" style="13" bestFit="1" customWidth="1"/>
    <col min="7439" max="7439" width="15.875" style="13" customWidth="1"/>
    <col min="7440" max="7440" width="16.25" style="13" customWidth="1"/>
    <col min="7441" max="7441" width="16.75" style="13" customWidth="1"/>
    <col min="7442" max="7442" width="14.875" style="13" customWidth="1"/>
    <col min="7443" max="7443" width="19.625" style="13" bestFit="1" customWidth="1"/>
    <col min="7444" max="7444" width="21.875" style="13" customWidth="1"/>
    <col min="7445" max="7681" width="11" style="13"/>
    <col min="7682" max="7682" width="51" style="13" customWidth="1"/>
    <col min="7683" max="7683" width="19" style="13" customWidth="1"/>
    <col min="7684" max="7684" width="15.375" style="13" customWidth="1"/>
    <col min="7685" max="7685" width="14.5" style="13" customWidth="1"/>
    <col min="7686" max="7686" width="19.75" style="13" customWidth="1"/>
    <col min="7687" max="7687" width="20.5" style="13" customWidth="1"/>
    <col min="7688" max="7688" width="15.25" style="13" customWidth="1"/>
    <col min="7689" max="7689" width="15.625" style="13" customWidth="1"/>
    <col min="7690" max="7690" width="15.625" style="13" bestFit="1" customWidth="1"/>
    <col min="7691" max="7691" width="14.875" style="13" customWidth="1"/>
    <col min="7692" max="7692" width="15.625" style="13" bestFit="1" customWidth="1"/>
    <col min="7693" max="7693" width="15" style="13" customWidth="1"/>
    <col min="7694" max="7694" width="15.625" style="13" bestFit="1" customWidth="1"/>
    <col min="7695" max="7695" width="15.875" style="13" customWidth="1"/>
    <col min="7696" max="7696" width="16.25" style="13" customWidth="1"/>
    <col min="7697" max="7697" width="16.75" style="13" customWidth="1"/>
    <col min="7698" max="7698" width="14.875" style="13" customWidth="1"/>
    <col min="7699" max="7699" width="19.625" style="13" bestFit="1" customWidth="1"/>
    <col min="7700" max="7700" width="21.875" style="13" customWidth="1"/>
    <col min="7701" max="7937" width="11" style="13"/>
    <col min="7938" max="7938" width="51" style="13" customWidth="1"/>
    <col min="7939" max="7939" width="19" style="13" customWidth="1"/>
    <col min="7940" max="7940" width="15.375" style="13" customWidth="1"/>
    <col min="7941" max="7941" width="14.5" style="13" customWidth="1"/>
    <col min="7942" max="7942" width="19.75" style="13" customWidth="1"/>
    <col min="7943" max="7943" width="20.5" style="13" customWidth="1"/>
    <col min="7944" max="7944" width="15.25" style="13" customWidth="1"/>
    <col min="7945" max="7945" width="15.625" style="13" customWidth="1"/>
    <col min="7946" max="7946" width="15.625" style="13" bestFit="1" customWidth="1"/>
    <col min="7947" max="7947" width="14.875" style="13" customWidth="1"/>
    <col min="7948" max="7948" width="15.625" style="13" bestFit="1" customWidth="1"/>
    <col min="7949" max="7949" width="15" style="13" customWidth="1"/>
    <col min="7950" max="7950" width="15.625" style="13" bestFit="1" customWidth="1"/>
    <col min="7951" max="7951" width="15.875" style="13" customWidth="1"/>
    <col min="7952" max="7952" width="16.25" style="13" customWidth="1"/>
    <col min="7953" max="7953" width="16.75" style="13" customWidth="1"/>
    <col min="7954" max="7954" width="14.875" style="13" customWidth="1"/>
    <col min="7955" max="7955" width="19.625" style="13" bestFit="1" customWidth="1"/>
    <col min="7956" max="7956" width="21.875" style="13" customWidth="1"/>
    <col min="7957" max="8193" width="11" style="13"/>
    <col min="8194" max="8194" width="51" style="13" customWidth="1"/>
    <col min="8195" max="8195" width="19" style="13" customWidth="1"/>
    <col min="8196" max="8196" width="15.375" style="13" customWidth="1"/>
    <col min="8197" max="8197" width="14.5" style="13" customWidth="1"/>
    <col min="8198" max="8198" width="19.75" style="13" customWidth="1"/>
    <col min="8199" max="8199" width="20.5" style="13" customWidth="1"/>
    <col min="8200" max="8200" width="15.25" style="13" customWidth="1"/>
    <col min="8201" max="8201" width="15.625" style="13" customWidth="1"/>
    <col min="8202" max="8202" width="15.625" style="13" bestFit="1" customWidth="1"/>
    <col min="8203" max="8203" width="14.875" style="13" customWidth="1"/>
    <col min="8204" max="8204" width="15.625" style="13" bestFit="1" customWidth="1"/>
    <col min="8205" max="8205" width="15" style="13" customWidth="1"/>
    <col min="8206" max="8206" width="15.625" style="13" bestFit="1" customWidth="1"/>
    <col min="8207" max="8207" width="15.875" style="13" customWidth="1"/>
    <col min="8208" max="8208" width="16.25" style="13" customWidth="1"/>
    <col min="8209" max="8209" width="16.75" style="13" customWidth="1"/>
    <col min="8210" max="8210" width="14.875" style="13" customWidth="1"/>
    <col min="8211" max="8211" width="19.625" style="13" bestFit="1" customWidth="1"/>
    <col min="8212" max="8212" width="21.875" style="13" customWidth="1"/>
    <col min="8213" max="8449" width="11" style="13"/>
    <col min="8450" max="8450" width="51" style="13" customWidth="1"/>
    <col min="8451" max="8451" width="19" style="13" customWidth="1"/>
    <col min="8452" max="8452" width="15.375" style="13" customWidth="1"/>
    <col min="8453" max="8453" width="14.5" style="13" customWidth="1"/>
    <col min="8454" max="8454" width="19.75" style="13" customWidth="1"/>
    <col min="8455" max="8455" width="20.5" style="13" customWidth="1"/>
    <col min="8456" max="8456" width="15.25" style="13" customWidth="1"/>
    <col min="8457" max="8457" width="15.625" style="13" customWidth="1"/>
    <col min="8458" max="8458" width="15.625" style="13" bestFit="1" customWidth="1"/>
    <col min="8459" max="8459" width="14.875" style="13" customWidth="1"/>
    <col min="8460" max="8460" width="15.625" style="13" bestFit="1" customWidth="1"/>
    <col min="8461" max="8461" width="15" style="13" customWidth="1"/>
    <col min="8462" max="8462" width="15.625" style="13" bestFit="1" customWidth="1"/>
    <col min="8463" max="8463" width="15.875" style="13" customWidth="1"/>
    <col min="8464" max="8464" width="16.25" style="13" customWidth="1"/>
    <col min="8465" max="8465" width="16.75" style="13" customWidth="1"/>
    <col min="8466" max="8466" width="14.875" style="13" customWidth="1"/>
    <col min="8467" max="8467" width="19.625" style="13" bestFit="1" customWidth="1"/>
    <col min="8468" max="8468" width="21.875" style="13" customWidth="1"/>
    <col min="8469" max="8705" width="11" style="13"/>
    <col min="8706" max="8706" width="51" style="13" customWidth="1"/>
    <col min="8707" max="8707" width="19" style="13" customWidth="1"/>
    <col min="8708" max="8708" width="15.375" style="13" customWidth="1"/>
    <col min="8709" max="8709" width="14.5" style="13" customWidth="1"/>
    <col min="8710" max="8710" width="19.75" style="13" customWidth="1"/>
    <col min="8711" max="8711" width="20.5" style="13" customWidth="1"/>
    <col min="8712" max="8712" width="15.25" style="13" customWidth="1"/>
    <col min="8713" max="8713" width="15.625" style="13" customWidth="1"/>
    <col min="8714" max="8714" width="15.625" style="13" bestFit="1" customWidth="1"/>
    <col min="8715" max="8715" width="14.875" style="13" customWidth="1"/>
    <col min="8716" max="8716" width="15.625" style="13" bestFit="1" customWidth="1"/>
    <col min="8717" max="8717" width="15" style="13" customWidth="1"/>
    <col min="8718" max="8718" width="15.625" style="13" bestFit="1" customWidth="1"/>
    <col min="8719" max="8719" width="15.875" style="13" customWidth="1"/>
    <col min="8720" max="8720" width="16.25" style="13" customWidth="1"/>
    <col min="8721" max="8721" width="16.75" style="13" customWidth="1"/>
    <col min="8722" max="8722" width="14.875" style="13" customWidth="1"/>
    <col min="8723" max="8723" width="19.625" style="13" bestFit="1" customWidth="1"/>
    <col min="8724" max="8724" width="21.875" style="13" customWidth="1"/>
    <col min="8725" max="8961" width="11" style="13"/>
    <col min="8962" max="8962" width="51" style="13" customWidth="1"/>
    <col min="8963" max="8963" width="19" style="13" customWidth="1"/>
    <col min="8964" max="8964" width="15.375" style="13" customWidth="1"/>
    <col min="8965" max="8965" width="14.5" style="13" customWidth="1"/>
    <col min="8966" max="8966" width="19.75" style="13" customWidth="1"/>
    <col min="8967" max="8967" width="20.5" style="13" customWidth="1"/>
    <col min="8968" max="8968" width="15.25" style="13" customWidth="1"/>
    <col min="8969" max="8969" width="15.625" style="13" customWidth="1"/>
    <col min="8970" max="8970" width="15.625" style="13" bestFit="1" customWidth="1"/>
    <col min="8971" max="8971" width="14.875" style="13" customWidth="1"/>
    <col min="8972" max="8972" width="15.625" style="13" bestFit="1" customWidth="1"/>
    <col min="8973" max="8973" width="15" style="13" customWidth="1"/>
    <col min="8974" max="8974" width="15.625" style="13" bestFit="1" customWidth="1"/>
    <col min="8975" max="8975" width="15.875" style="13" customWidth="1"/>
    <col min="8976" max="8976" width="16.25" style="13" customWidth="1"/>
    <col min="8977" max="8977" width="16.75" style="13" customWidth="1"/>
    <col min="8978" max="8978" width="14.875" style="13" customWidth="1"/>
    <col min="8979" max="8979" width="19.625" style="13" bestFit="1" customWidth="1"/>
    <col min="8980" max="8980" width="21.875" style="13" customWidth="1"/>
    <col min="8981" max="9217" width="11" style="13"/>
    <col min="9218" max="9218" width="51" style="13" customWidth="1"/>
    <col min="9219" max="9219" width="19" style="13" customWidth="1"/>
    <col min="9220" max="9220" width="15.375" style="13" customWidth="1"/>
    <col min="9221" max="9221" width="14.5" style="13" customWidth="1"/>
    <col min="9222" max="9222" width="19.75" style="13" customWidth="1"/>
    <col min="9223" max="9223" width="20.5" style="13" customWidth="1"/>
    <col min="9224" max="9224" width="15.25" style="13" customWidth="1"/>
    <col min="9225" max="9225" width="15.625" style="13" customWidth="1"/>
    <col min="9226" max="9226" width="15.625" style="13" bestFit="1" customWidth="1"/>
    <col min="9227" max="9227" width="14.875" style="13" customWidth="1"/>
    <col min="9228" max="9228" width="15.625" style="13" bestFit="1" customWidth="1"/>
    <col min="9229" max="9229" width="15" style="13" customWidth="1"/>
    <col min="9230" max="9230" width="15.625" style="13" bestFit="1" customWidth="1"/>
    <col min="9231" max="9231" width="15.875" style="13" customWidth="1"/>
    <col min="9232" max="9232" width="16.25" style="13" customWidth="1"/>
    <col min="9233" max="9233" width="16.75" style="13" customWidth="1"/>
    <col min="9234" max="9234" width="14.875" style="13" customWidth="1"/>
    <col min="9235" max="9235" width="19.625" style="13" bestFit="1" customWidth="1"/>
    <col min="9236" max="9236" width="21.875" style="13" customWidth="1"/>
    <col min="9237" max="9473" width="11" style="13"/>
    <col min="9474" max="9474" width="51" style="13" customWidth="1"/>
    <col min="9475" max="9475" width="19" style="13" customWidth="1"/>
    <col min="9476" max="9476" width="15.375" style="13" customWidth="1"/>
    <col min="9477" max="9477" width="14.5" style="13" customWidth="1"/>
    <col min="9478" max="9478" width="19.75" style="13" customWidth="1"/>
    <col min="9479" max="9479" width="20.5" style="13" customWidth="1"/>
    <col min="9480" max="9480" width="15.25" style="13" customWidth="1"/>
    <col min="9481" max="9481" width="15.625" style="13" customWidth="1"/>
    <col min="9482" max="9482" width="15.625" style="13" bestFit="1" customWidth="1"/>
    <col min="9483" max="9483" width="14.875" style="13" customWidth="1"/>
    <col min="9484" max="9484" width="15.625" style="13" bestFit="1" customWidth="1"/>
    <col min="9485" max="9485" width="15" style="13" customWidth="1"/>
    <col min="9486" max="9486" width="15.625" style="13" bestFit="1" customWidth="1"/>
    <col min="9487" max="9487" width="15.875" style="13" customWidth="1"/>
    <col min="9488" max="9488" width="16.25" style="13" customWidth="1"/>
    <col min="9489" max="9489" width="16.75" style="13" customWidth="1"/>
    <col min="9490" max="9490" width="14.875" style="13" customWidth="1"/>
    <col min="9491" max="9491" width="19.625" style="13" bestFit="1" customWidth="1"/>
    <col min="9492" max="9492" width="21.875" style="13" customWidth="1"/>
    <col min="9493" max="9729" width="11" style="13"/>
    <col min="9730" max="9730" width="51" style="13" customWidth="1"/>
    <col min="9731" max="9731" width="19" style="13" customWidth="1"/>
    <col min="9732" max="9732" width="15.375" style="13" customWidth="1"/>
    <col min="9733" max="9733" width="14.5" style="13" customWidth="1"/>
    <col min="9734" max="9734" width="19.75" style="13" customWidth="1"/>
    <col min="9735" max="9735" width="20.5" style="13" customWidth="1"/>
    <col min="9736" max="9736" width="15.25" style="13" customWidth="1"/>
    <col min="9737" max="9737" width="15.625" style="13" customWidth="1"/>
    <col min="9738" max="9738" width="15.625" style="13" bestFit="1" customWidth="1"/>
    <col min="9739" max="9739" width="14.875" style="13" customWidth="1"/>
    <col min="9740" max="9740" width="15.625" style="13" bestFit="1" customWidth="1"/>
    <col min="9741" max="9741" width="15" style="13" customWidth="1"/>
    <col min="9742" max="9742" width="15.625" style="13" bestFit="1" customWidth="1"/>
    <col min="9743" max="9743" width="15.875" style="13" customWidth="1"/>
    <col min="9744" max="9744" width="16.25" style="13" customWidth="1"/>
    <col min="9745" max="9745" width="16.75" style="13" customWidth="1"/>
    <col min="9746" max="9746" width="14.875" style="13" customWidth="1"/>
    <col min="9747" max="9747" width="19.625" style="13" bestFit="1" customWidth="1"/>
    <col min="9748" max="9748" width="21.875" style="13" customWidth="1"/>
    <col min="9749" max="9985" width="11" style="13"/>
    <col min="9986" max="9986" width="51" style="13" customWidth="1"/>
    <col min="9987" max="9987" width="19" style="13" customWidth="1"/>
    <col min="9988" max="9988" width="15.375" style="13" customWidth="1"/>
    <col min="9989" max="9989" width="14.5" style="13" customWidth="1"/>
    <col min="9990" max="9990" width="19.75" style="13" customWidth="1"/>
    <col min="9991" max="9991" width="20.5" style="13" customWidth="1"/>
    <col min="9992" max="9992" width="15.25" style="13" customWidth="1"/>
    <col min="9993" max="9993" width="15.625" style="13" customWidth="1"/>
    <col min="9994" max="9994" width="15.625" style="13" bestFit="1" customWidth="1"/>
    <col min="9995" max="9995" width="14.875" style="13" customWidth="1"/>
    <col min="9996" max="9996" width="15.625" style="13" bestFit="1" customWidth="1"/>
    <col min="9997" max="9997" width="15" style="13" customWidth="1"/>
    <col min="9998" max="9998" width="15.625" style="13" bestFit="1" customWidth="1"/>
    <col min="9999" max="9999" width="15.875" style="13" customWidth="1"/>
    <col min="10000" max="10000" width="16.25" style="13" customWidth="1"/>
    <col min="10001" max="10001" width="16.75" style="13" customWidth="1"/>
    <col min="10002" max="10002" width="14.875" style="13" customWidth="1"/>
    <col min="10003" max="10003" width="19.625" style="13" bestFit="1" customWidth="1"/>
    <col min="10004" max="10004" width="21.875" style="13" customWidth="1"/>
    <col min="10005" max="10241" width="11" style="13"/>
    <col min="10242" max="10242" width="51" style="13" customWidth="1"/>
    <col min="10243" max="10243" width="19" style="13" customWidth="1"/>
    <col min="10244" max="10244" width="15.375" style="13" customWidth="1"/>
    <col min="10245" max="10245" width="14.5" style="13" customWidth="1"/>
    <col min="10246" max="10246" width="19.75" style="13" customWidth="1"/>
    <col min="10247" max="10247" width="20.5" style="13" customWidth="1"/>
    <col min="10248" max="10248" width="15.25" style="13" customWidth="1"/>
    <col min="10249" max="10249" width="15.625" style="13" customWidth="1"/>
    <col min="10250" max="10250" width="15.625" style="13" bestFit="1" customWidth="1"/>
    <col min="10251" max="10251" width="14.875" style="13" customWidth="1"/>
    <col min="10252" max="10252" width="15.625" style="13" bestFit="1" customWidth="1"/>
    <col min="10253" max="10253" width="15" style="13" customWidth="1"/>
    <col min="10254" max="10254" width="15.625" style="13" bestFit="1" customWidth="1"/>
    <col min="10255" max="10255" width="15.875" style="13" customWidth="1"/>
    <col min="10256" max="10256" width="16.25" style="13" customWidth="1"/>
    <col min="10257" max="10257" width="16.75" style="13" customWidth="1"/>
    <col min="10258" max="10258" width="14.875" style="13" customWidth="1"/>
    <col min="10259" max="10259" width="19.625" style="13" bestFit="1" customWidth="1"/>
    <col min="10260" max="10260" width="21.875" style="13" customWidth="1"/>
    <col min="10261" max="10497" width="11" style="13"/>
    <col min="10498" max="10498" width="51" style="13" customWidth="1"/>
    <col min="10499" max="10499" width="19" style="13" customWidth="1"/>
    <col min="10500" max="10500" width="15.375" style="13" customWidth="1"/>
    <col min="10501" max="10501" width="14.5" style="13" customWidth="1"/>
    <col min="10502" max="10502" width="19.75" style="13" customWidth="1"/>
    <col min="10503" max="10503" width="20.5" style="13" customWidth="1"/>
    <col min="10504" max="10504" width="15.25" style="13" customWidth="1"/>
    <col min="10505" max="10505" width="15.625" style="13" customWidth="1"/>
    <col min="10506" max="10506" width="15.625" style="13" bestFit="1" customWidth="1"/>
    <col min="10507" max="10507" width="14.875" style="13" customWidth="1"/>
    <col min="10508" max="10508" width="15.625" style="13" bestFit="1" customWidth="1"/>
    <col min="10509" max="10509" width="15" style="13" customWidth="1"/>
    <col min="10510" max="10510" width="15.625" style="13" bestFit="1" customWidth="1"/>
    <col min="10511" max="10511" width="15.875" style="13" customWidth="1"/>
    <col min="10512" max="10512" width="16.25" style="13" customWidth="1"/>
    <col min="10513" max="10513" width="16.75" style="13" customWidth="1"/>
    <col min="10514" max="10514" width="14.875" style="13" customWidth="1"/>
    <col min="10515" max="10515" width="19.625" style="13" bestFit="1" customWidth="1"/>
    <col min="10516" max="10516" width="21.875" style="13" customWidth="1"/>
    <col min="10517" max="10753" width="11" style="13"/>
    <col min="10754" max="10754" width="51" style="13" customWidth="1"/>
    <col min="10755" max="10755" width="19" style="13" customWidth="1"/>
    <col min="10756" max="10756" width="15.375" style="13" customWidth="1"/>
    <col min="10757" max="10757" width="14.5" style="13" customWidth="1"/>
    <col min="10758" max="10758" width="19.75" style="13" customWidth="1"/>
    <col min="10759" max="10759" width="20.5" style="13" customWidth="1"/>
    <col min="10760" max="10760" width="15.25" style="13" customWidth="1"/>
    <col min="10761" max="10761" width="15.625" style="13" customWidth="1"/>
    <col min="10762" max="10762" width="15.625" style="13" bestFit="1" customWidth="1"/>
    <col min="10763" max="10763" width="14.875" style="13" customWidth="1"/>
    <col min="10764" max="10764" width="15.625" style="13" bestFit="1" customWidth="1"/>
    <col min="10765" max="10765" width="15" style="13" customWidth="1"/>
    <col min="10766" max="10766" width="15.625" style="13" bestFit="1" customWidth="1"/>
    <col min="10767" max="10767" width="15.875" style="13" customWidth="1"/>
    <col min="10768" max="10768" width="16.25" style="13" customWidth="1"/>
    <col min="10769" max="10769" width="16.75" style="13" customWidth="1"/>
    <col min="10770" max="10770" width="14.875" style="13" customWidth="1"/>
    <col min="10771" max="10771" width="19.625" style="13" bestFit="1" customWidth="1"/>
    <col min="10772" max="10772" width="21.875" style="13" customWidth="1"/>
    <col min="10773" max="11009" width="11" style="13"/>
    <col min="11010" max="11010" width="51" style="13" customWidth="1"/>
    <col min="11011" max="11011" width="19" style="13" customWidth="1"/>
    <col min="11012" max="11012" width="15.375" style="13" customWidth="1"/>
    <col min="11013" max="11013" width="14.5" style="13" customWidth="1"/>
    <col min="11014" max="11014" width="19.75" style="13" customWidth="1"/>
    <col min="11015" max="11015" width="20.5" style="13" customWidth="1"/>
    <col min="11016" max="11016" width="15.25" style="13" customWidth="1"/>
    <col min="11017" max="11017" width="15.625" style="13" customWidth="1"/>
    <col min="11018" max="11018" width="15.625" style="13" bestFit="1" customWidth="1"/>
    <col min="11019" max="11019" width="14.875" style="13" customWidth="1"/>
    <col min="11020" max="11020" width="15.625" style="13" bestFit="1" customWidth="1"/>
    <col min="11021" max="11021" width="15" style="13" customWidth="1"/>
    <col min="11022" max="11022" width="15.625" style="13" bestFit="1" customWidth="1"/>
    <col min="11023" max="11023" width="15.875" style="13" customWidth="1"/>
    <col min="11024" max="11024" width="16.25" style="13" customWidth="1"/>
    <col min="11025" max="11025" width="16.75" style="13" customWidth="1"/>
    <col min="11026" max="11026" width="14.875" style="13" customWidth="1"/>
    <col min="11027" max="11027" width="19.625" style="13" bestFit="1" customWidth="1"/>
    <col min="11028" max="11028" width="21.875" style="13" customWidth="1"/>
    <col min="11029" max="11265" width="11" style="13"/>
    <col min="11266" max="11266" width="51" style="13" customWidth="1"/>
    <col min="11267" max="11267" width="19" style="13" customWidth="1"/>
    <col min="11268" max="11268" width="15.375" style="13" customWidth="1"/>
    <col min="11269" max="11269" width="14.5" style="13" customWidth="1"/>
    <col min="11270" max="11270" width="19.75" style="13" customWidth="1"/>
    <col min="11271" max="11271" width="20.5" style="13" customWidth="1"/>
    <col min="11272" max="11272" width="15.25" style="13" customWidth="1"/>
    <col min="11273" max="11273" width="15.625" style="13" customWidth="1"/>
    <col min="11274" max="11274" width="15.625" style="13" bestFit="1" customWidth="1"/>
    <col min="11275" max="11275" width="14.875" style="13" customWidth="1"/>
    <col min="11276" max="11276" width="15.625" style="13" bestFit="1" customWidth="1"/>
    <col min="11277" max="11277" width="15" style="13" customWidth="1"/>
    <col min="11278" max="11278" width="15.625" style="13" bestFit="1" customWidth="1"/>
    <col min="11279" max="11279" width="15.875" style="13" customWidth="1"/>
    <col min="11280" max="11280" width="16.25" style="13" customWidth="1"/>
    <col min="11281" max="11281" width="16.75" style="13" customWidth="1"/>
    <col min="11282" max="11282" width="14.875" style="13" customWidth="1"/>
    <col min="11283" max="11283" width="19.625" style="13" bestFit="1" customWidth="1"/>
    <col min="11284" max="11284" width="21.875" style="13" customWidth="1"/>
    <col min="11285" max="11521" width="11" style="13"/>
    <col min="11522" max="11522" width="51" style="13" customWidth="1"/>
    <col min="11523" max="11523" width="19" style="13" customWidth="1"/>
    <col min="11524" max="11524" width="15.375" style="13" customWidth="1"/>
    <col min="11525" max="11525" width="14.5" style="13" customWidth="1"/>
    <col min="11526" max="11526" width="19.75" style="13" customWidth="1"/>
    <col min="11527" max="11527" width="20.5" style="13" customWidth="1"/>
    <col min="11528" max="11528" width="15.25" style="13" customWidth="1"/>
    <col min="11529" max="11529" width="15.625" style="13" customWidth="1"/>
    <col min="11530" max="11530" width="15.625" style="13" bestFit="1" customWidth="1"/>
    <col min="11531" max="11531" width="14.875" style="13" customWidth="1"/>
    <col min="11532" max="11532" width="15.625" style="13" bestFit="1" customWidth="1"/>
    <col min="11533" max="11533" width="15" style="13" customWidth="1"/>
    <col min="11534" max="11534" width="15.625" style="13" bestFit="1" customWidth="1"/>
    <col min="11535" max="11535" width="15.875" style="13" customWidth="1"/>
    <col min="11536" max="11536" width="16.25" style="13" customWidth="1"/>
    <col min="11537" max="11537" width="16.75" style="13" customWidth="1"/>
    <col min="11538" max="11538" width="14.875" style="13" customWidth="1"/>
    <col min="11539" max="11539" width="19.625" style="13" bestFit="1" customWidth="1"/>
    <col min="11540" max="11540" width="21.875" style="13" customWidth="1"/>
    <col min="11541" max="11777" width="11" style="13"/>
    <col min="11778" max="11778" width="51" style="13" customWidth="1"/>
    <col min="11779" max="11779" width="19" style="13" customWidth="1"/>
    <col min="11780" max="11780" width="15.375" style="13" customWidth="1"/>
    <col min="11781" max="11781" width="14.5" style="13" customWidth="1"/>
    <col min="11782" max="11782" width="19.75" style="13" customWidth="1"/>
    <col min="11783" max="11783" width="20.5" style="13" customWidth="1"/>
    <col min="11784" max="11784" width="15.25" style="13" customWidth="1"/>
    <col min="11785" max="11785" width="15.625" style="13" customWidth="1"/>
    <col min="11786" max="11786" width="15.625" style="13" bestFit="1" customWidth="1"/>
    <col min="11787" max="11787" width="14.875" style="13" customWidth="1"/>
    <col min="11788" max="11788" width="15.625" style="13" bestFit="1" customWidth="1"/>
    <col min="11789" max="11789" width="15" style="13" customWidth="1"/>
    <col min="11790" max="11790" width="15.625" style="13" bestFit="1" customWidth="1"/>
    <col min="11791" max="11791" width="15.875" style="13" customWidth="1"/>
    <col min="11792" max="11792" width="16.25" style="13" customWidth="1"/>
    <col min="11793" max="11793" width="16.75" style="13" customWidth="1"/>
    <col min="11794" max="11794" width="14.875" style="13" customWidth="1"/>
    <col min="11795" max="11795" width="19.625" style="13" bestFit="1" customWidth="1"/>
    <col min="11796" max="11796" width="21.875" style="13" customWidth="1"/>
    <col min="11797" max="12033" width="11" style="13"/>
    <col min="12034" max="12034" width="51" style="13" customWidth="1"/>
    <col min="12035" max="12035" width="19" style="13" customWidth="1"/>
    <col min="12036" max="12036" width="15.375" style="13" customWidth="1"/>
    <col min="12037" max="12037" width="14.5" style="13" customWidth="1"/>
    <col min="12038" max="12038" width="19.75" style="13" customWidth="1"/>
    <col min="12039" max="12039" width="20.5" style="13" customWidth="1"/>
    <col min="12040" max="12040" width="15.25" style="13" customWidth="1"/>
    <col min="12041" max="12041" width="15.625" style="13" customWidth="1"/>
    <col min="12042" max="12042" width="15.625" style="13" bestFit="1" customWidth="1"/>
    <col min="12043" max="12043" width="14.875" style="13" customWidth="1"/>
    <col min="12044" max="12044" width="15.625" style="13" bestFit="1" customWidth="1"/>
    <col min="12045" max="12045" width="15" style="13" customWidth="1"/>
    <col min="12046" max="12046" width="15.625" style="13" bestFit="1" customWidth="1"/>
    <col min="12047" max="12047" width="15.875" style="13" customWidth="1"/>
    <col min="12048" max="12048" width="16.25" style="13" customWidth="1"/>
    <col min="12049" max="12049" width="16.75" style="13" customWidth="1"/>
    <col min="12050" max="12050" width="14.875" style="13" customWidth="1"/>
    <col min="12051" max="12051" width="19.625" style="13" bestFit="1" customWidth="1"/>
    <col min="12052" max="12052" width="21.875" style="13" customWidth="1"/>
    <col min="12053" max="12289" width="11" style="13"/>
    <col min="12290" max="12290" width="51" style="13" customWidth="1"/>
    <col min="12291" max="12291" width="19" style="13" customWidth="1"/>
    <col min="12292" max="12292" width="15.375" style="13" customWidth="1"/>
    <col min="12293" max="12293" width="14.5" style="13" customWidth="1"/>
    <col min="12294" max="12294" width="19.75" style="13" customWidth="1"/>
    <col min="12295" max="12295" width="20.5" style="13" customWidth="1"/>
    <col min="12296" max="12296" width="15.25" style="13" customWidth="1"/>
    <col min="12297" max="12297" width="15.625" style="13" customWidth="1"/>
    <col min="12298" max="12298" width="15.625" style="13" bestFit="1" customWidth="1"/>
    <col min="12299" max="12299" width="14.875" style="13" customWidth="1"/>
    <col min="12300" max="12300" width="15.625" style="13" bestFit="1" customWidth="1"/>
    <col min="12301" max="12301" width="15" style="13" customWidth="1"/>
    <col min="12302" max="12302" width="15.625" style="13" bestFit="1" customWidth="1"/>
    <col min="12303" max="12303" width="15.875" style="13" customWidth="1"/>
    <col min="12304" max="12304" width="16.25" style="13" customWidth="1"/>
    <col min="12305" max="12305" width="16.75" style="13" customWidth="1"/>
    <col min="12306" max="12306" width="14.875" style="13" customWidth="1"/>
    <col min="12307" max="12307" width="19.625" style="13" bestFit="1" customWidth="1"/>
    <col min="12308" max="12308" width="21.875" style="13" customWidth="1"/>
    <col min="12309" max="12545" width="11" style="13"/>
    <col min="12546" max="12546" width="51" style="13" customWidth="1"/>
    <col min="12547" max="12547" width="19" style="13" customWidth="1"/>
    <col min="12548" max="12548" width="15.375" style="13" customWidth="1"/>
    <col min="12549" max="12549" width="14.5" style="13" customWidth="1"/>
    <col min="12550" max="12550" width="19.75" style="13" customWidth="1"/>
    <col min="12551" max="12551" width="20.5" style="13" customWidth="1"/>
    <col min="12552" max="12552" width="15.25" style="13" customWidth="1"/>
    <col min="12553" max="12553" width="15.625" style="13" customWidth="1"/>
    <col min="12554" max="12554" width="15.625" style="13" bestFit="1" customWidth="1"/>
    <col min="12555" max="12555" width="14.875" style="13" customWidth="1"/>
    <col min="12556" max="12556" width="15.625" style="13" bestFit="1" customWidth="1"/>
    <col min="12557" max="12557" width="15" style="13" customWidth="1"/>
    <col min="12558" max="12558" width="15.625" style="13" bestFit="1" customWidth="1"/>
    <col min="12559" max="12559" width="15.875" style="13" customWidth="1"/>
    <col min="12560" max="12560" width="16.25" style="13" customWidth="1"/>
    <col min="12561" max="12561" width="16.75" style="13" customWidth="1"/>
    <col min="12562" max="12562" width="14.875" style="13" customWidth="1"/>
    <col min="12563" max="12563" width="19.625" style="13" bestFit="1" customWidth="1"/>
    <col min="12564" max="12564" width="21.875" style="13" customWidth="1"/>
    <col min="12565" max="12801" width="11" style="13"/>
    <col min="12802" max="12802" width="51" style="13" customWidth="1"/>
    <col min="12803" max="12803" width="19" style="13" customWidth="1"/>
    <col min="12804" max="12804" width="15.375" style="13" customWidth="1"/>
    <col min="12805" max="12805" width="14.5" style="13" customWidth="1"/>
    <col min="12806" max="12806" width="19.75" style="13" customWidth="1"/>
    <col min="12807" max="12807" width="20.5" style="13" customWidth="1"/>
    <col min="12808" max="12808" width="15.25" style="13" customWidth="1"/>
    <col min="12809" max="12809" width="15.625" style="13" customWidth="1"/>
    <col min="12810" max="12810" width="15.625" style="13" bestFit="1" customWidth="1"/>
    <col min="12811" max="12811" width="14.875" style="13" customWidth="1"/>
    <col min="12812" max="12812" width="15.625" style="13" bestFit="1" customWidth="1"/>
    <col min="12813" max="12813" width="15" style="13" customWidth="1"/>
    <col min="12814" max="12814" width="15.625" style="13" bestFit="1" customWidth="1"/>
    <col min="12815" max="12815" width="15.875" style="13" customWidth="1"/>
    <col min="12816" max="12816" width="16.25" style="13" customWidth="1"/>
    <col min="12817" max="12817" width="16.75" style="13" customWidth="1"/>
    <col min="12818" max="12818" width="14.875" style="13" customWidth="1"/>
    <col min="12819" max="12819" width="19.625" style="13" bestFit="1" customWidth="1"/>
    <col min="12820" max="12820" width="21.875" style="13" customWidth="1"/>
    <col min="12821" max="13057" width="11" style="13"/>
    <col min="13058" max="13058" width="51" style="13" customWidth="1"/>
    <col min="13059" max="13059" width="19" style="13" customWidth="1"/>
    <col min="13060" max="13060" width="15.375" style="13" customWidth="1"/>
    <col min="13061" max="13061" width="14.5" style="13" customWidth="1"/>
    <col min="13062" max="13062" width="19.75" style="13" customWidth="1"/>
    <col min="13063" max="13063" width="20.5" style="13" customWidth="1"/>
    <col min="13064" max="13064" width="15.25" style="13" customWidth="1"/>
    <col min="13065" max="13065" width="15.625" style="13" customWidth="1"/>
    <col min="13066" max="13066" width="15.625" style="13" bestFit="1" customWidth="1"/>
    <col min="13067" max="13067" width="14.875" style="13" customWidth="1"/>
    <col min="13068" max="13068" width="15.625" style="13" bestFit="1" customWidth="1"/>
    <col min="13069" max="13069" width="15" style="13" customWidth="1"/>
    <col min="13070" max="13070" width="15.625" style="13" bestFit="1" customWidth="1"/>
    <col min="13071" max="13071" width="15.875" style="13" customWidth="1"/>
    <col min="13072" max="13072" width="16.25" style="13" customWidth="1"/>
    <col min="13073" max="13073" width="16.75" style="13" customWidth="1"/>
    <col min="13074" max="13074" width="14.875" style="13" customWidth="1"/>
    <col min="13075" max="13075" width="19.625" style="13" bestFit="1" customWidth="1"/>
    <col min="13076" max="13076" width="21.875" style="13" customWidth="1"/>
    <col min="13077" max="13313" width="11" style="13"/>
    <col min="13314" max="13314" width="51" style="13" customWidth="1"/>
    <col min="13315" max="13315" width="19" style="13" customWidth="1"/>
    <col min="13316" max="13316" width="15.375" style="13" customWidth="1"/>
    <col min="13317" max="13317" width="14.5" style="13" customWidth="1"/>
    <col min="13318" max="13318" width="19.75" style="13" customWidth="1"/>
    <col min="13319" max="13319" width="20.5" style="13" customWidth="1"/>
    <col min="13320" max="13320" width="15.25" style="13" customWidth="1"/>
    <col min="13321" max="13321" width="15.625" style="13" customWidth="1"/>
    <col min="13322" max="13322" width="15.625" style="13" bestFit="1" customWidth="1"/>
    <col min="13323" max="13323" width="14.875" style="13" customWidth="1"/>
    <col min="13324" max="13324" width="15.625" style="13" bestFit="1" customWidth="1"/>
    <col min="13325" max="13325" width="15" style="13" customWidth="1"/>
    <col min="13326" max="13326" width="15.625" style="13" bestFit="1" customWidth="1"/>
    <col min="13327" max="13327" width="15.875" style="13" customWidth="1"/>
    <col min="13328" max="13328" width="16.25" style="13" customWidth="1"/>
    <col min="13329" max="13329" width="16.75" style="13" customWidth="1"/>
    <col min="13330" max="13330" width="14.875" style="13" customWidth="1"/>
    <col min="13331" max="13331" width="19.625" style="13" bestFit="1" customWidth="1"/>
    <col min="13332" max="13332" width="21.875" style="13" customWidth="1"/>
    <col min="13333" max="13569" width="11" style="13"/>
    <col min="13570" max="13570" width="51" style="13" customWidth="1"/>
    <col min="13571" max="13571" width="19" style="13" customWidth="1"/>
    <col min="13572" max="13572" width="15.375" style="13" customWidth="1"/>
    <col min="13573" max="13573" width="14.5" style="13" customWidth="1"/>
    <col min="13574" max="13574" width="19.75" style="13" customWidth="1"/>
    <col min="13575" max="13575" width="20.5" style="13" customWidth="1"/>
    <col min="13576" max="13576" width="15.25" style="13" customWidth="1"/>
    <col min="13577" max="13577" width="15.625" style="13" customWidth="1"/>
    <col min="13578" max="13578" width="15.625" style="13" bestFit="1" customWidth="1"/>
    <col min="13579" max="13579" width="14.875" style="13" customWidth="1"/>
    <col min="13580" max="13580" width="15.625" style="13" bestFit="1" customWidth="1"/>
    <col min="13581" max="13581" width="15" style="13" customWidth="1"/>
    <col min="13582" max="13582" width="15.625" style="13" bestFit="1" customWidth="1"/>
    <col min="13583" max="13583" width="15.875" style="13" customWidth="1"/>
    <col min="13584" max="13584" width="16.25" style="13" customWidth="1"/>
    <col min="13585" max="13585" width="16.75" style="13" customWidth="1"/>
    <col min="13586" max="13586" width="14.875" style="13" customWidth="1"/>
    <col min="13587" max="13587" width="19.625" style="13" bestFit="1" customWidth="1"/>
    <col min="13588" max="13588" width="21.875" style="13" customWidth="1"/>
    <col min="13589" max="13825" width="11" style="13"/>
    <col min="13826" max="13826" width="51" style="13" customWidth="1"/>
    <col min="13827" max="13827" width="19" style="13" customWidth="1"/>
    <col min="13828" max="13828" width="15.375" style="13" customWidth="1"/>
    <col min="13829" max="13829" width="14.5" style="13" customWidth="1"/>
    <col min="13830" max="13830" width="19.75" style="13" customWidth="1"/>
    <col min="13831" max="13831" width="20.5" style="13" customWidth="1"/>
    <col min="13832" max="13832" width="15.25" style="13" customWidth="1"/>
    <col min="13833" max="13833" width="15.625" style="13" customWidth="1"/>
    <col min="13834" max="13834" width="15.625" style="13" bestFit="1" customWidth="1"/>
    <col min="13835" max="13835" width="14.875" style="13" customWidth="1"/>
    <col min="13836" max="13836" width="15.625" style="13" bestFit="1" customWidth="1"/>
    <col min="13837" max="13837" width="15" style="13" customWidth="1"/>
    <col min="13838" max="13838" width="15.625" style="13" bestFit="1" customWidth="1"/>
    <col min="13839" max="13839" width="15.875" style="13" customWidth="1"/>
    <col min="13840" max="13840" width="16.25" style="13" customWidth="1"/>
    <col min="13841" max="13841" width="16.75" style="13" customWidth="1"/>
    <col min="13842" max="13842" width="14.875" style="13" customWidth="1"/>
    <col min="13843" max="13843" width="19.625" style="13" bestFit="1" customWidth="1"/>
    <col min="13844" max="13844" width="21.875" style="13" customWidth="1"/>
    <col min="13845" max="14081" width="11" style="13"/>
    <col min="14082" max="14082" width="51" style="13" customWidth="1"/>
    <col min="14083" max="14083" width="19" style="13" customWidth="1"/>
    <col min="14084" max="14084" width="15.375" style="13" customWidth="1"/>
    <col min="14085" max="14085" width="14.5" style="13" customWidth="1"/>
    <col min="14086" max="14086" width="19.75" style="13" customWidth="1"/>
    <col min="14087" max="14087" width="20.5" style="13" customWidth="1"/>
    <col min="14088" max="14088" width="15.25" style="13" customWidth="1"/>
    <col min="14089" max="14089" width="15.625" style="13" customWidth="1"/>
    <col min="14090" max="14090" width="15.625" style="13" bestFit="1" customWidth="1"/>
    <col min="14091" max="14091" width="14.875" style="13" customWidth="1"/>
    <col min="14092" max="14092" width="15.625" style="13" bestFit="1" customWidth="1"/>
    <col min="14093" max="14093" width="15" style="13" customWidth="1"/>
    <col min="14094" max="14094" width="15.625" style="13" bestFit="1" customWidth="1"/>
    <col min="14095" max="14095" width="15.875" style="13" customWidth="1"/>
    <col min="14096" max="14096" width="16.25" style="13" customWidth="1"/>
    <col min="14097" max="14097" width="16.75" style="13" customWidth="1"/>
    <col min="14098" max="14098" width="14.875" style="13" customWidth="1"/>
    <col min="14099" max="14099" width="19.625" style="13" bestFit="1" customWidth="1"/>
    <col min="14100" max="14100" width="21.875" style="13" customWidth="1"/>
    <col min="14101" max="14337" width="11" style="13"/>
    <col min="14338" max="14338" width="51" style="13" customWidth="1"/>
    <col min="14339" max="14339" width="19" style="13" customWidth="1"/>
    <col min="14340" max="14340" width="15.375" style="13" customWidth="1"/>
    <col min="14341" max="14341" width="14.5" style="13" customWidth="1"/>
    <col min="14342" max="14342" width="19.75" style="13" customWidth="1"/>
    <col min="14343" max="14343" width="20.5" style="13" customWidth="1"/>
    <col min="14344" max="14344" width="15.25" style="13" customWidth="1"/>
    <col min="14345" max="14345" width="15.625" style="13" customWidth="1"/>
    <col min="14346" max="14346" width="15.625" style="13" bestFit="1" customWidth="1"/>
    <col min="14347" max="14347" width="14.875" style="13" customWidth="1"/>
    <col min="14348" max="14348" width="15.625" style="13" bestFit="1" customWidth="1"/>
    <col min="14349" max="14349" width="15" style="13" customWidth="1"/>
    <col min="14350" max="14350" width="15.625" style="13" bestFit="1" customWidth="1"/>
    <col min="14351" max="14351" width="15.875" style="13" customWidth="1"/>
    <col min="14352" max="14352" width="16.25" style="13" customWidth="1"/>
    <col min="14353" max="14353" width="16.75" style="13" customWidth="1"/>
    <col min="14354" max="14354" width="14.875" style="13" customWidth="1"/>
    <col min="14355" max="14355" width="19.625" style="13" bestFit="1" customWidth="1"/>
    <col min="14356" max="14356" width="21.875" style="13" customWidth="1"/>
    <col min="14357" max="14593" width="11" style="13"/>
    <col min="14594" max="14594" width="51" style="13" customWidth="1"/>
    <col min="14595" max="14595" width="19" style="13" customWidth="1"/>
    <col min="14596" max="14596" width="15.375" style="13" customWidth="1"/>
    <col min="14597" max="14597" width="14.5" style="13" customWidth="1"/>
    <col min="14598" max="14598" width="19.75" style="13" customWidth="1"/>
    <col min="14599" max="14599" width="20.5" style="13" customWidth="1"/>
    <col min="14600" max="14600" width="15.25" style="13" customWidth="1"/>
    <col min="14601" max="14601" width="15.625" style="13" customWidth="1"/>
    <col min="14602" max="14602" width="15.625" style="13" bestFit="1" customWidth="1"/>
    <col min="14603" max="14603" width="14.875" style="13" customWidth="1"/>
    <col min="14604" max="14604" width="15.625" style="13" bestFit="1" customWidth="1"/>
    <col min="14605" max="14605" width="15" style="13" customWidth="1"/>
    <col min="14606" max="14606" width="15.625" style="13" bestFit="1" customWidth="1"/>
    <col min="14607" max="14607" width="15.875" style="13" customWidth="1"/>
    <col min="14608" max="14608" width="16.25" style="13" customWidth="1"/>
    <col min="14609" max="14609" width="16.75" style="13" customWidth="1"/>
    <col min="14610" max="14610" width="14.875" style="13" customWidth="1"/>
    <col min="14611" max="14611" width="19.625" style="13" bestFit="1" customWidth="1"/>
    <col min="14612" max="14612" width="21.875" style="13" customWidth="1"/>
    <col min="14613" max="14849" width="11" style="13"/>
    <col min="14850" max="14850" width="51" style="13" customWidth="1"/>
    <col min="14851" max="14851" width="19" style="13" customWidth="1"/>
    <col min="14852" max="14852" width="15.375" style="13" customWidth="1"/>
    <col min="14853" max="14853" width="14.5" style="13" customWidth="1"/>
    <col min="14854" max="14854" width="19.75" style="13" customWidth="1"/>
    <col min="14855" max="14855" width="20.5" style="13" customWidth="1"/>
    <col min="14856" max="14856" width="15.25" style="13" customWidth="1"/>
    <col min="14857" max="14857" width="15.625" style="13" customWidth="1"/>
    <col min="14858" max="14858" width="15.625" style="13" bestFit="1" customWidth="1"/>
    <col min="14859" max="14859" width="14.875" style="13" customWidth="1"/>
    <col min="14860" max="14860" width="15.625" style="13" bestFit="1" customWidth="1"/>
    <col min="14861" max="14861" width="15" style="13" customWidth="1"/>
    <col min="14862" max="14862" width="15.625" style="13" bestFit="1" customWidth="1"/>
    <col min="14863" max="14863" width="15.875" style="13" customWidth="1"/>
    <col min="14864" max="14864" width="16.25" style="13" customWidth="1"/>
    <col min="14865" max="14865" width="16.75" style="13" customWidth="1"/>
    <col min="14866" max="14866" width="14.875" style="13" customWidth="1"/>
    <col min="14867" max="14867" width="19.625" style="13" bestFit="1" customWidth="1"/>
    <col min="14868" max="14868" width="21.875" style="13" customWidth="1"/>
    <col min="14869" max="15105" width="11" style="13"/>
    <col min="15106" max="15106" width="51" style="13" customWidth="1"/>
    <col min="15107" max="15107" width="19" style="13" customWidth="1"/>
    <col min="15108" max="15108" width="15.375" style="13" customWidth="1"/>
    <col min="15109" max="15109" width="14.5" style="13" customWidth="1"/>
    <col min="15110" max="15110" width="19.75" style="13" customWidth="1"/>
    <col min="15111" max="15111" width="20.5" style="13" customWidth="1"/>
    <col min="15112" max="15112" width="15.25" style="13" customWidth="1"/>
    <col min="15113" max="15113" width="15.625" style="13" customWidth="1"/>
    <col min="15114" max="15114" width="15.625" style="13" bestFit="1" customWidth="1"/>
    <col min="15115" max="15115" width="14.875" style="13" customWidth="1"/>
    <col min="15116" max="15116" width="15.625" style="13" bestFit="1" customWidth="1"/>
    <col min="15117" max="15117" width="15" style="13" customWidth="1"/>
    <col min="15118" max="15118" width="15.625" style="13" bestFit="1" customWidth="1"/>
    <col min="15119" max="15119" width="15.875" style="13" customWidth="1"/>
    <col min="15120" max="15120" width="16.25" style="13" customWidth="1"/>
    <col min="15121" max="15121" width="16.75" style="13" customWidth="1"/>
    <col min="15122" max="15122" width="14.875" style="13" customWidth="1"/>
    <col min="15123" max="15123" width="19.625" style="13" bestFit="1" customWidth="1"/>
    <col min="15124" max="15124" width="21.875" style="13" customWidth="1"/>
    <col min="15125" max="15361" width="11" style="13"/>
    <col min="15362" max="15362" width="51" style="13" customWidth="1"/>
    <col min="15363" max="15363" width="19" style="13" customWidth="1"/>
    <col min="15364" max="15364" width="15.375" style="13" customWidth="1"/>
    <col min="15365" max="15365" width="14.5" style="13" customWidth="1"/>
    <col min="15366" max="15366" width="19.75" style="13" customWidth="1"/>
    <col min="15367" max="15367" width="20.5" style="13" customWidth="1"/>
    <col min="15368" max="15368" width="15.25" style="13" customWidth="1"/>
    <col min="15369" max="15369" width="15.625" style="13" customWidth="1"/>
    <col min="15370" max="15370" width="15.625" style="13" bestFit="1" customWidth="1"/>
    <col min="15371" max="15371" width="14.875" style="13" customWidth="1"/>
    <col min="15372" max="15372" width="15.625" style="13" bestFit="1" customWidth="1"/>
    <col min="15373" max="15373" width="15" style="13" customWidth="1"/>
    <col min="15374" max="15374" width="15.625" style="13" bestFit="1" customWidth="1"/>
    <col min="15375" max="15375" width="15.875" style="13" customWidth="1"/>
    <col min="15376" max="15376" width="16.25" style="13" customWidth="1"/>
    <col min="15377" max="15377" width="16.75" style="13" customWidth="1"/>
    <col min="15378" max="15378" width="14.875" style="13" customWidth="1"/>
    <col min="15379" max="15379" width="19.625" style="13" bestFit="1" customWidth="1"/>
    <col min="15380" max="15380" width="21.875" style="13" customWidth="1"/>
    <col min="15381" max="15617" width="11" style="13"/>
    <col min="15618" max="15618" width="51" style="13" customWidth="1"/>
    <col min="15619" max="15619" width="19" style="13" customWidth="1"/>
    <col min="15620" max="15620" width="15.375" style="13" customWidth="1"/>
    <col min="15621" max="15621" width="14.5" style="13" customWidth="1"/>
    <col min="15622" max="15622" width="19.75" style="13" customWidth="1"/>
    <col min="15623" max="15623" width="20.5" style="13" customWidth="1"/>
    <col min="15624" max="15624" width="15.25" style="13" customWidth="1"/>
    <col min="15625" max="15625" width="15.625" style="13" customWidth="1"/>
    <col min="15626" max="15626" width="15.625" style="13" bestFit="1" customWidth="1"/>
    <col min="15627" max="15627" width="14.875" style="13" customWidth="1"/>
    <col min="15628" max="15628" width="15.625" style="13" bestFit="1" customWidth="1"/>
    <col min="15629" max="15629" width="15" style="13" customWidth="1"/>
    <col min="15630" max="15630" width="15.625" style="13" bestFit="1" customWidth="1"/>
    <col min="15631" max="15631" width="15.875" style="13" customWidth="1"/>
    <col min="15632" max="15632" width="16.25" style="13" customWidth="1"/>
    <col min="15633" max="15633" width="16.75" style="13" customWidth="1"/>
    <col min="15634" max="15634" width="14.875" style="13" customWidth="1"/>
    <col min="15635" max="15635" width="19.625" style="13" bestFit="1" customWidth="1"/>
    <col min="15636" max="15636" width="21.875" style="13" customWidth="1"/>
    <col min="15637" max="15873" width="11" style="13"/>
    <col min="15874" max="15874" width="51" style="13" customWidth="1"/>
    <col min="15875" max="15875" width="19" style="13" customWidth="1"/>
    <col min="15876" max="15876" width="15.375" style="13" customWidth="1"/>
    <col min="15877" max="15877" width="14.5" style="13" customWidth="1"/>
    <col min="15878" max="15878" width="19.75" style="13" customWidth="1"/>
    <col min="15879" max="15879" width="20.5" style="13" customWidth="1"/>
    <col min="15880" max="15880" width="15.25" style="13" customWidth="1"/>
    <col min="15881" max="15881" width="15.625" style="13" customWidth="1"/>
    <col min="15882" max="15882" width="15.625" style="13" bestFit="1" customWidth="1"/>
    <col min="15883" max="15883" width="14.875" style="13" customWidth="1"/>
    <col min="15884" max="15884" width="15.625" style="13" bestFit="1" customWidth="1"/>
    <col min="15885" max="15885" width="15" style="13" customWidth="1"/>
    <col min="15886" max="15886" width="15.625" style="13" bestFit="1" customWidth="1"/>
    <col min="15887" max="15887" width="15.875" style="13" customWidth="1"/>
    <col min="15888" max="15888" width="16.25" style="13" customWidth="1"/>
    <col min="15889" max="15889" width="16.75" style="13" customWidth="1"/>
    <col min="15890" max="15890" width="14.875" style="13" customWidth="1"/>
    <col min="15891" max="15891" width="19.625" style="13" bestFit="1" customWidth="1"/>
    <col min="15892" max="15892" width="21.875" style="13" customWidth="1"/>
    <col min="15893" max="16129" width="11" style="13"/>
    <col min="16130" max="16130" width="51" style="13" customWidth="1"/>
    <col min="16131" max="16131" width="19" style="13" customWidth="1"/>
    <col min="16132" max="16132" width="15.375" style="13" customWidth="1"/>
    <col min="16133" max="16133" width="14.5" style="13" customWidth="1"/>
    <col min="16134" max="16134" width="19.75" style="13" customWidth="1"/>
    <col min="16135" max="16135" width="20.5" style="13" customWidth="1"/>
    <col min="16136" max="16136" width="15.25" style="13" customWidth="1"/>
    <col min="16137" max="16137" width="15.625" style="13" customWidth="1"/>
    <col min="16138" max="16138" width="15.625" style="13" bestFit="1" customWidth="1"/>
    <col min="16139" max="16139" width="14.875" style="13" customWidth="1"/>
    <col min="16140" max="16140" width="15.625" style="13" bestFit="1" customWidth="1"/>
    <col min="16141" max="16141" width="15" style="13" customWidth="1"/>
    <col min="16142" max="16142" width="15.625" style="13" bestFit="1" customWidth="1"/>
    <col min="16143" max="16143" width="15.875" style="13" customWidth="1"/>
    <col min="16144" max="16144" width="16.25" style="13" customWidth="1"/>
    <col min="16145" max="16145" width="16.75" style="13" customWidth="1"/>
    <col min="16146" max="16146" width="14.875" style="13" customWidth="1"/>
    <col min="16147" max="16147" width="19.625" style="13" bestFit="1" customWidth="1"/>
    <col min="16148" max="16148" width="21.875" style="13" customWidth="1"/>
    <col min="16149" max="16384" width="11" style="13"/>
  </cols>
  <sheetData>
    <row r="1" spans="1:22"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2">
      <c r="B2" s="669" t="s">
        <v>0</v>
      </c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1"/>
      <c r="U2" s="12"/>
    </row>
    <row r="3" spans="1:22">
      <c r="B3" s="669" t="s">
        <v>175</v>
      </c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1"/>
      <c r="U3" s="12"/>
    </row>
    <row r="4" spans="1:22" ht="13.5" thickBot="1">
      <c r="B4" s="672" t="s">
        <v>98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4"/>
      <c r="U4" s="12"/>
    </row>
    <row r="5" spans="1:22">
      <c r="A5" s="111"/>
      <c r="B5" s="80" t="s">
        <v>99</v>
      </c>
      <c r="C5" s="80" t="s">
        <v>100</v>
      </c>
      <c r="D5" s="81"/>
      <c r="E5" s="82" t="s">
        <v>101</v>
      </c>
      <c r="F5" s="81" t="s">
        <v>102</v>
      </c>
      <c r="G5" s="82" t="s">
        <v>103</v>
      </c>
      <c r="H5" s="81" t="s">
        <v>104</v>
      </c>
      <c r="I5" s="82" t="s">
        <v>105</v>
      </c>
      <c r="J5" s="81" t="s">
        <v>106</v>
      </c>
      <c r="K5" s="82" t="s">
        <v>107</v>
      </c>
      <c r="L5" s="81" t="s">
        <v>108</v>
      </c>
      <c r="M5" s="82" t="s">
        <v>109</v>
      </c>
      <c r="N5" s="81" t="s">
        <v>110</v>
      </c>
      <c r="O5" s="82" t="s">
        <v>111</v>
      </c>
      <c r="P5" s="81" t="s">
        <v>112</v>
      </c>
      <c r="Q5" s="82" t="s">
        <v>113</v>
      </c>
      <c r="R5" s="81" t="s">
        <v>114</v>
      </c>
      <c r="S5" s="82" t="s">
        <v>115</v>
      </c>
      <c r="T5" s="81" t="s">
        <v>116</v>
      </c>
    </row>
    <row r="6" spans="1:22" ht="13.5" thickBot="1">
      <c r="A6" s="111"/>
      <c r="B6" s="83"/>
      <c r="C6" s="84" t="s">
        <v>3</v>
      </c>
      <c r="D6" s="85"/>
      <c r="E6" s="86"/>
      <c r="F6" s="85" t="s">
        <v>117</v>
      </c>
      <c r="G6" s="87" t="s">
        <v>118</v>
      </c>
      <c r="H6" s="88"/>
      <c r="I6" s="89"/>
      <c r="J6" s="88"/>
      <c r="K6" s="89"/>
      <c r="L6" s="88"/>
      <c r="M6" s="89"/>
      <c r="N6" s="88"/>
      <c r="O6" s="89"/>
      <c r="P6" s="88"/>
      <c r="Q6" s="89"/>
      <c r="R6" s="88"/>
      <c r="S6" s="89"/>
      <c r="T6" s="88"/>
    </row>
    <row r="7" spans="1:22">
      <c r="B7" s="16"/>
      <c r="C7" s="17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9"/>
    </row>
    <row r="8" spans="1:22">
      <c r="B8" s="99" t="s">
        <v>119</v>
      </c>
      <c r="C8" s="23">
        <v>1155126065</v>
      </c>
      <c r="D8" s="20"/>
      <c r="E8" s="21"/>
      <c r="F8" s="21"/>
      <c r="G8" s="24">
        <f>E8-F8+C8</f>
        <v>1155126065</v>
      </c>
      <c r="H8" s="21">
        <v>165126065</v>
      </c>
      <c r="I8" s="21">
        <v>90000000</v>
      </c>
      <c r="J8" s="21">
        <v>90000000</v>
      </c>
      <c r="K8" s="21">
        <v>90000000</v>
      </c>
      <c r="L8" s="21">
        <v>90000000</v>
      </c>
      <c r="M8" s="21">
        <v>90000000</v>
      </c>
      <c r="N8" s="21">
        <v>90000000</v>
      </c>
      <c r="O8" s="21">
        <v>90000000</v>
      </c>
      <c r="P8" s="21">
        <v>90000000</v>
      </c>
      <c r="Q8" s="21">
        <v>90000000</v>
      </c>
      <c r="R8" s="21">
        <v>90000000</v>
      </c>
      <c r="S8" s="21">
        <v>90000000</v>
      </c>
      <c r="T8" s="25">
        <f>H8+I8+J8+K8+L8+M8+N8+O8+P8+Q8+R8+S8</f>
        <v>1155126065</v>
      </c>
      <c r="U8" s="26">
        <f>G8-T8</f>
        <v>0</v>
      </c>
    </row>
    <row r="9" spans="1:22">
      <c r="B9" s="99" t="s">
        <v>120</v>
      </c>
      <c r="C9" s="27">
        <v>0</v>
      </c>
      <c r="D9" s="20"/>
      <c r="E9" s="7"/>
      <c r="F9" s="21">
        <v>0</v>
      </c>
      <c r="G9" s="21">
        <f>E9-F9</f>
        <v>0</v>
      </c>
      <c r="H9" s="21">
        <f t="shared" ref="H9:S9" si="0">F9-G9</f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2">
        <f>H9+I9+J9+K9+L9+M9+N9+O9+P9+Q9+R9+S9</f>
        <v>0</v>
      </c>
    </row>
    <row r="10" spans="1:22">
      <c r="B10" s="99" t="s">
        <v>121</v>
      </c>
      <c r="C10" s="27">
        <v>0</v>
      </c>
      <c r="D10" s="20"/>
      <c r="E10" s="7"/>
      <c r="F10" s="21">
        <v>0</v>
      </c>
      <c r="G10" s="21">
        <f>E10-F10</f>
        <v>0</v>
      </c>
      <c r="H10" s="21">
        <f t="shared" ref="H10:S10" si="1">F10-G10</f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  <c r="T10" s="22">
        <f>H10+I10+J10+K10+L10+M10+N10+O10+P10+Q10+R10+S10</f>
        <v>0</v>
      </c>
    </row>
    <row r="11" spans="1:22">
      <c r="B11" s="99" t="s">
        <v>122</v>
      </c>
      <c r="C11" s="27">
        <v>0</v>
      </c>
      <c r="D11" s="20"/>
      <c r="E11" s="7"/>
      <c r="F11" s="21">
        <v>0</v>
      </c>
      <c r="G11" s="21">
        <f>E11-F11</f>
        <v>0</v>
      </c>
      <c r="H11" s="21">
        <f t="shared" ref="H11:S11" si="2">F11-G11</f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2">
        <f>H11+I11+J11+K11+L11+M11+N11+O11+P11+Q11+R11+S11</f>
        <v>0</v>
      </c>
    </row>
    <row r="12" spans="1:22">
      <c r="B12" s="99" t="s">
        <v>123</v>
      </c>
      <c r="C12" s="27">
        <v>0</v>
      </c>
      <c r="D12" s="20"/>
      <c r="E12" s="7"/>
      <c r="F12" s="21">
        <v>0</v>
      </c>
      <c r="G12" s="21">
        <f>E12-F12</f>
        <v>0</v>
      </c>
      <c r="H12" s="21">
        <f t="shared" ref="H12:S12" si="3">F12-G12</f>
        <v>0</v>
      </c>
      <c r="I12" s="21">
        <f t="shared" si="3"/>
        <v>0</v>
      </c>
      <c r="J12" s="21">
        <f t="shared" si="3"/>
        <v>0</v>
      </c>
      <c r="K12" s="21">
        <f t="shared" si="3"/>
        <v>0</v>
      </c>
      <c r="L12" s="21">
        <f t="shared" si="3"/>
        <v>0</v>
      </c>
      <c r="M12" s="21">
        <f t="shared" si="3"/>
        <v>0</v>
      </c>
      <c r="N12" s="21">
        <f t="shared" si="3"/>
        <v>0</v>
      </c>
      <c r="O12" s="21">
        <f t="shared" si="3"/>
        <v>0</v>
      </c>
      <c r="P12" s="21">
        <f t="shared" si="3"/>
        <v>0</v>
      </c>
      <c r="Q12" s="21">
        <f t="shared" si="3"/>
        <v>0</v>
      </c>
      <c r="R12" s="21">
        <f t="shared" si="3"/>
        <v>0</v>
      </c>
      <c r="S12" s="21">
        <f t="shared" si="3"/>
        <v>0</v>
      </c>
      <c r="T12" s="22">
        <f>H12+I12+J12+K12+L12+M12+N12+O12+P12+Q12+R12+S12</f>
        <v>0</v>
      </c>
    </row>
    <row r="13" spans="1:22">
      <c r="A13" s="111"/>
      <c r="B13" s="90" t="s">
        <v>140</v>
      </c>
      <c r="C13" s="91">
        <f>+C8+C9+C10+C11</f>
        <v>1155126065</v>
      </c>
      <c r="D13" s="92"/>
      <c r="E13" s="93"/>
      <c r="F13" s="93">
        <v>0</v>
      </c>
      <c r="G13" s="94">
        <f>G12+G11+G10+G9+G8</f>
        <v>1155126065</v>
      </c>
      <c r="H13" s="93">
        <f>H8+H11+H12</f>
        <v>165126065</v>
      </c>
      <c r="I13" s="93">
        <f>I8+I11+I12</f>
        <v>90000000</v>
      </c>
      <c r="J13" s="93">
        <f>J8+J11+J12</f>
        <v>90000000</v>
      </c>
      <c r="K13" s="93">
        <f>K8+K11+K12</f>
        <v>90000000</v>
      </c>
      <c r="L13" s="93">
        <f>L8+L11+L12</f>
        <v>90000000</v>
      </c>
      <c r="M13" s="93">
        <f>M8+M9+M10+M11+M12</f>
        <v>90000000</v>
      </c>
      <c r="N13" s="93">
        <f t="shared" ref="N13:T13" si="4">N8+N9+N10+N11+N12</f>
        <v>90000000</v>
      </c>
      <c r="O13" s="93">
        <f t="shared" si="4"/>
        <v>90000000</v>
      </c>
      <c r="P13" s="93">
        <f t="shared" si="4"/>
        <v>90000000</v>
      </c>
      <c r="Q13" s="93">
        <f t="shared" si="4"/>
        <v>90000000</v>
      </c>
      <c r="R13" s="93">
        <f t="shared" si="4"/>
        <v>90000000</v>
      </c>
      <c r="S13" s="94">
        <f t="shared" si="4"/>
        <v>90000000</v>
      </c>
      <c r="T13" s="95">
        <f t="shared" si="4"/>
        <v>1155126065</v>
      </c>
      <c r="V13" s="26"/>
    </row>
    <row r="14" spans="1:22">
      <c r="B14" s="99" t="s">
        <v>124</v>
      </c>
      <c r="C14" s="27">
        <v>0</v>
      </c>
      <c r="D14" s="20"/>
      <c r="E14" s="21"/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2">
        <v>0</v>
      </c>
      <c r="V14" s="26"/>
    </row>
    <row r="15" spans="1:22">
      <c r="B15" s="99" t="s">
        <v>125</v>
      </c>
      <c r="C15" s="27">
        <v>0</v>
      </c>
      <c r="D15" s="20"/>
      <c r="E15" s="21"/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2">
        <v>0</v>
      </c>
      <c r="V15" s="26"/>
    </row>
    <row r="16" spans="1:22">
      <c r="A16" s="111"/>
      <c r="B16" s="90" t="s">
        <v>126</v>
      </c>
      <c r="C16" s="91">
        <f>+C13</f>
        <v>1155126065</v>
      </c>
      <c r="D16" s="92"/>
      <c r="E16" s="96">
        <f>E8+E9+E10+E11+E12</f>
        <v>0</v>
      </c>
      <c r="F16" s="93">
        <v>0</v>
      </c>
      <c r="G16" s="97">
        <f>+G13</f>
        <v>1155126065</v>
      </c>
      <c r="H16" s="96">
        <f>H8+H11+H12</f>
        <v>165126065</v>
      </c>
      <c r="I16" s="96">
        <f>I8+I11+I12</f>
        <v>90000000</v>
      </c>
      <c r="J16" s="96">
        <f t="shared" ref="J16:R16" si="5">+J13</f>
        <v>90000000</v>
      </c>
      <c r="K16" s="96">
        <f t="shared" si="5"/>
        <v>90000000</v>
      </c>
      <c r="L16" s="96">
        <f t="shared" si="5"/>
        <v>90000000</v>
      </c>
      <c r="M16" s="96">
        <f t="shared" si="5"/>
        <v>90000000</v>
      </c>
      <c r="N16" s="96">
        <f t="shared" si="5"/>
        <v>90000000</v>
      </c>
      <c r="O16" s="96">
        <f t="shared" si="5"/>
        <v>90000000</v>
      </c>
      <c r="P16" s="96">
        <f t="shared" si="5"/>
        <v>90000000</v>
      </c>
      <c r="Q16" s="96">
        <f t="shared" si="5"/>
        <v>90000000</v>
      </c>
      <c r="R16" s="96">
        <f t="shared" si="5"/>
        <v>90000000</v>
      </c>
      <c r="S16" s="97">
        <f>S13</f>
        <v>90000000</v>
      </c>
      <c r="T16" s="98">
        <f>H16+I16+J16+K16+L16+M16+N16+O16+P16+Q16+R16+S16</f>
        <v>1155126065</v>
      </c>
    </row>
    <row r="17" spans="1:22" ht="13.5" thickBot="1">
      <c r="B17" s="29"/>
      <c r="C17" s="30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</row>
    <row r="18" spans="1:22" ht="8.25" customHeight="1">
      <c r="B18" s="14"/>
      <c r="C18" s="34"/>
      <c r="D18" s="35"/>
      <c r="E18" s="34"/>
      <c r="F18" s="34"/>
      <c r="G18" s="34"/>
      <c r="H18" s="34"/>
      <c r="I18" s="34"/>
      <c r="J18" s="15"/>
      <c r="K18" s="15"/>
      <c r="L18" s="15"/>
      <c r="M18" s="15"/>
      <c r="N18" s="15"/>
      <c r="O18" s="15"/>
      <c r="P18" s="34"/>
      <c r="Q18" s="34"/>
      <c r="R18" s="34"/>
      <c r="S18" s="34"/>
      <c r="T18" s="36" t="s">
        <v>117</v>
      </c>
      <c r="V18" s="26"/>
    </row>
    <row r="19" spans="1:22">
      <c r="B19" s="14"/>
      <c r="C19" s="34"/>
      <c r="D19" s="35"/>
      <c r="E19" s="34"/>
      <c r="F19" s="37"/>
      <c r="G19" s="34"/>
      <c r="H19" s="34"/>
      <c r="I19" s="34"/>
      <c r="J19" s="15" t="s">
        <v>176</v>
      </c>
      <c r="K19" s="15"/>
      <c r="L19" s="15"/>
      <c r="M19" s="15"/>
      <c r="N19" s="15"/>
      <c r="O19" s="12"/>
      <c r="P19" s="34"/>
      <c r="Q19" s="34"/>
      <c r="R19" s="34"/>
      <c r="S19" s="34"/>
      <c r="T19" s="36"/>
      <c r="V19" s="26"/>
    </row>
    <row r="20" spans="1:22" ht="9.75" customHeight="1" thickBot="1">
      <c r="B20" s="35"/>
      <c r="C20" s="34"/>
      <c r="D20" s="35"/>
      <c r="E20" s="34"/>
      <c r="F20" s="34"/>
      <c r="G20" s="34"/>
      <c r="H20" s="34"/>
      <c r="I20" s="34"/>
      <c r="J20" s="15"/>
      <c r="K20" s="15"/>
      <c r="L20" s="15"/>
      <c r="M20" s="15"/>
      <c r="N20" s="15"/>
      <c r="O20" s="15"/>
      <c r="P20" s="34"/>
      <c r="Q20" s="34"/>
      <c r="R20" s="34"/>
      <c r="S20" s="34"/>
      <c r="T20" s="36"/>
    </row>
    <row r="21" spans="1:22">
      <c r="A21" s="112"/>
      <c r="B21" s="68" t="s">
        <v>1</v>
      </c>
      <c r="C21" s="69" t="s">
        <v>127</v>
      </c>
      <c r="D21" s="70" t="s">
        <v>101</v>
      </c>
      <c r="E21" s="71" t="s">
        <v>2</v>
      </c>
      <c r="F21" s="70" t="s">
        <v>128</v>
      </c>
      <c r="G21" s="71" t="s">
        <v>129</v>
      </c>
      <c r="H21" s="70" t="s">
        <v>104</v>
      </c>
      <c r="I21" s="70" t="s">
        <v>105</v>
      </c>
      <c r="J21" s="71" t="s">
        <v>106</v>
      </c>
      <c r="K21" s="70" t="s">
        <v>107</v>
      </c>
      <c r="L21" s="71" t="s">
        <v>108</v>
      </c>
      <c r="M21" s="70" t="s">
        <v>109</v>
      </c>
      <c r="N21" s="71" t="s">
        <v>110</v>
      </c>
      <c r="O21" s="70" t="s">
        <v>111</v>
      </c>
      <c r="P21" s="71" t="s">
        <v>112</v>
      </c>
      <c r="Q21" s="70" t="s">
        <v>113</v>
      </c>
      <c r="R21" s="71" t="s">
        <v>114</v>
      </c>
      <c r="S21" s="70" t="s">
        <v>115</v>
      </c>
      <c r="T21" s="72" t="s">
        <v>116</v>
      </c>
      <c r="V21" s="26"/>
    </row>
    <row r="22" spans="1:22" ht="13.5" thickBot="1">
      <c r="A22" s="112"/>
      <c r="B22" s="73"/>
      <c r="C22" s="74" t="s">
        <v>3</v>
      </c>
      <c r="D22" s="75"/>
      <c r="E22" s="76"/>
      <c r="F22" s="77"/>
      <c r="G22" s="78" t="s">
        <v>118</v>
      </c>
      <c r="H22" s="77"/>
      <c r="I22" s="77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9"/>
      <c r="V22" s="26"/>
    </row>
    <row r="23" spans="1:22">
      <c r="A23" s="113" t="s">
        <v>4</v>
      </c>
      <c r="B23" s="61" t="s">
        <v>5</v>
      </c>
      <c r="C23" s="62">
        <f t="shared" ref="C23:T23" si="6">SUM(C24:C31)</f>
        <v>650377324</v>
      </c>
      <c r="D23" s="63">
        <f t="shared" si="6"/>
        <v>0</v>
      </c>
      <c r="E23" s="64">
        <f t="shared" si="6"/>
        <v>0</v>
      </c>
      <c r="F23" s="64">
        <f t="shared" si="6"/>
        <v>0</v>
      </c>
      <c r="G23" s="64">
        <f t="shared" si="6"/>
        <v>650377324</v>
      </c>
      <c r="H23" s="64">
        <f t="shared" si="6"/>
        <v>44764777</v>
      </c>
      <c r="I23" s="64">
        <f t="shared" si="6"/>
        <v>43764777</v>
      </c>
      <c r="J23" s="64">
        <f t="shared" si="6"/>
        <v>40864777</v>
      </c>
      <c r="K23" s="64">
        <f t="shared" si="6"/>
        <v>41814777</v>
      </c>
      <c r="L23" s="64">
        <f t="shared" si="6"/>
        <v>42014777</v>
      </c>
      <c r="M23" s="65">
        <f t="shared" si="6"/>
        <v>51442513</v>
      </c>
      <c r="N23" s="64">
        <f t="shared" si="6"/>
        <v>70064777</v>
      </c>
      <c r="O23" s="64">
        <f t="shared" si="6"/>
        <v>46414777</v>
      </c>
      <c r="P23" s="64">
        <f t="shared" si="6"/>
        <v>40864777</v>
      </c>
      <c r="Q23" s="64">
        <f t="shared" si="6"/>
        <v>55264777</v>
      </c>
      <c r="R23" s="64">
        <f t="shared" si="6"/>
        <v>52264777</v>
      </c>
      <c r="S23" s="64">
        <f t="shared" si="6"/>
        <v>120837041</v>
      </c>
      <c r="T23" s="62">
        <f t="shared" si="6"/>
        <v>650377324</v>
      </c>
      <c r="U23" s="26">
        <f>G23-T23</f>
        <v>0</v>
      </c>
    </row>
    <row r="24" spans="1:22" ht="14.25">
      <c r="A24" s="100" t="s">
        <v>6</v>
      </c>
      <c r="B24" s="56" t="s">
        <v>7</v>
      </c>
      <c r="C24" s="272">
        <v>488231324</v>
      </c>
      <c r="D24" s="8"/>
      <c r="E24" s="9"/>
      <c r="F24" s="38"/>
      <c r="G24" s="39">
        <f>ROUND((C24+D24+E24-F24),1)</f>
        <v>488231324</v>
      </c>
      <c r="H24" s="40">
        <v>40685943</v>
      </c>
      <c r="I24" s="40">
        <v>40685943</v>
      </c>
      <c r="J24" s="40">
        <v>40685943</v>
      </c>
      <c r="K24" s="40">
        <v>40685943</v>
      </c>
      <c r="L24" s="40">
        <v>40685944</v>
      </c>
      <c r="M24" s="40">
        <v>40685944</v>
      </c>
      <c r="N24" s="40">
        <v>40685944</v>
      </c>
      <c r="O24" s="40">
        <v>40685944</v>
      </c>
      <c r="P24" s="40">
        <v>40685944</v>
      </c>
      <c r="Q24" s="40">
        <v>40685944</v>
      </c>
      <c r="R24" s="40">
        <v>40685944</v>
      </c>
      <c r="S24" s="40">
        <v>40685944</v>
      </c>
      <c r="T24" s="42">
        <f>SUM(H24:S24)</f>
        <v>488231324</v>
      </c>
      <c r="U24" s="26">
        <f t="shared" ref="U24:U77" si="7">G24-T24</f>
        <v>0</v>
      </c>
    </row>
    <row r="25" spans="1:22" ht="14.25">
      <c r="A25" s="100" t="s">
        <v>10</v>
      </c>
      <c r="B25" s="56" t="s">
        <v>11</v>
      </c>
      <c r="C25" s="272">
        <v>1246000</v>
      </c>
      <c r="D25" s="8"/>
      <c r="E25" s="9"/>
      <c r="F25" s="10"/>
      <c r="G25" s="39">
        <f t="shared" ref="G25:G31" si="8">ROUND((C25+D25+E25-F25),1)</f>
        <v>1246000</v>
      </c>
      <c r="H25" s="40">
        <v>103834</v>
      </c>
      <c r="I25" s="40">
        <v>103834</v>
      </c>
      <c r="J25" s="40">
        <v>103834</v>
      </c>
      <c r="K25" s="40">
        <v>103834</v>
      </c>
      <c r="L25" s="40">
        <v>103833</v>
      </c>
      <c r="M25" s="40">
        <v>103833</v>
      </c>
      <c r="N25" s="40">
        <v>103833</v>
      </c>
      <c r="O25" s="40">
        <v>103833</v>
      </c>
      <c r="P25" s="40">
        <v>103833</v>
      </c>
      <c r="Q25" s="40">
        <v>103833</v>
      </c>
      <c r="R25" s="40">
        <v>103833</v>
      </c>
      <c r="S25" s="40">
        <v>103833</v>
      </c>
      <c r="T25" s="42">
        <f t="shared" ref="T25:T35" si="9">SUM(H25:S25)</f>
        <v>1246000</v>
      </c>
      <c r="U25" s="26">
        <f t="shared" si="7"/>
        <v>0</v>
      </c>
    </row>
    <row r="26" spans="1:22" ht="14.25">
      <c r="A26" s="100">
        <v>2020110104</v>
      </c>
      <c r="B26" s="56" t="s">
        <v>13</v>
      </c>
      <c r="C26" s="272">
        <v>900000</v>
      </c>
      <c r="D26" s="8"/>
      <c r="E26" s="9"/>
      <c r="F26" s="10"/>
      <c r="G26" s="39">
        <f t="shared" si="8"/>
        <v>900000</v>
      </c>
      <c r="H26" s="40">
        <v>75000</v>
      </c>
      <c r="I26" s="40">
        <v>75000</v>
      </c>
      <c r="J26" s="40">
        <v>75000</v>
      </c>
      <c r="K26" s="40">
        <v>75000</v>
      </c>
      <c r="L26" s="40">
        <v>75000</v>
      </c>
      <c r="M26" s="40">
        <v>75000</v>
      </c>
      <c r="N26" s="40">
        <v>75000</v>
      </c>
      <c r="O26" s="40">
        <v>75000</v>
      </c>
      <c r="P26" s="40">
        <v>75000</v>
      </c>
      <c r="Q26" s="40">
        <v>75000</v>
      </c>
      <c r="R26" s="40">
        <v>75000</v>
      </c>
      <c r="S26" s="40">
        <v>75000</v>
      </c>
      <c r="T26" s="42">
        <f t="shared" si="9"/>
        <v>900000</v>
      </c>
      <c r="U26" s="26">
        <f t="shared" si="7"/>
        <v>0</v>
      </c>
    </row>
    <row r="27" spans="1:22" ht="14.25">
      <c r="A27" s="100" t="s">
        <v>14</v>
      </c>
      <c r="B27" s="56" t="s">
        <v>15</v>
      </c>
      <c r="C27" s="272">
        <v>17000000</v>
      </c>
      <c r="D27" s="8"/>
      <c r="E27" s="9"/>
      <c r="F27" s="10"/>
      <c r="G27" s="39">
        <f t="shared" si="8"/>
        <v>17000000</v>
      </c>
      <c r="H27" s="40">
        <v>0</v>
      </c>
      <c r="I27" s="4">
        <v>2900000</v>
      </c>
      <c r="J27" s="4">
        <v>0</v>
      </c>
      <c r="K27" s="4">
        <v>950000</v>
      </c>
      <c r="L27" s="4">
        <v>1150000</v>
      </c>
      <c r="M27" s="4">
        <v>2300000</v>
      </c>
      <c r="N27" s="4">
        <v>1600000</v>
      </c>
      <c r="O27" s="4">
        <v>3600000</v>
      </c>
      <c r="P27" s="4">
        <v>0</v>
      </c>
      <c r="Q27" s="4">
        <v>0</v>
      </c>
      <c r="R27" s="41">
        <v>4500000</v>
      </c>
      <c r="S27" s="4">
        <v>0</v>
      </c>
      <c r="T27" s="42">
        <f t="shared" si="9"/>
        <v>17000000</v>
      </c>
      <c r="U27" s="26">
        <f t="shared" si="7"/>
        <v>0</v>
      </c>
    </row>
    <row r="28" spans="1:22" ht="14.25">
      <c r="A28" s="100" t="s">
        <v>16</v>
      </c>
      <c r="B28" s="56" t="s">
        <v>17</v>
      </c>
      <c r="C28" s="272">
        <v>24000000</v>
      </c>
      <c r="D28" s="8"/>
      <c r="E28" s="11"/>
      <c r="F28" s="10"/>
      <c r="G28" s="39">
        <f t="shared" si="8"/>
        <v>24000000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">
        <v>0</v>
      </c>
      <c r="N28" s="41">
        <v>24000000</v>
      </c>
      <c r="O28" s="41">
        <v>0</v>
      </c>
      <c r="P28" s="41">
        <v>0</v>
      </c>
      <c r="Q28" s="41">
        <v>0</v>
      </c>
      <c r="R28" s="41"/>
      <c r="S28" s="41">
        <v>0</v>
      </c>
      <c r="T28" s="42">
        <f t="shared" si="9"/>
        <v>24000000</v>
      </c>
      <c r="U28" s="26">
        <f t="shared" si="7"/>
        <v>0</v>
      </c>
    </row>
    <row r="29" spans="1:22" ht="14.25">
      <c r="A29" s="100" t="s">
        <v>18</v>
      </c>
      <c r="B29" s="56" t="s">
        <v>19</v>
      </c>
      <c r="C29" s="272">
        <v>28000000</v>
      </c>
      <c r="D29" s="8"/>
      <c r="E29" s="9"/>
      <c r="F29" s="43"/>
      <c r="G29" s="39">
        <f t="shared" si="8"/>
        <v>28000000</v>
      </c>
      <c r="H29" s="40">
        <v>1200000</v>
      </c>
      <c r="I29" s="2"/>
      <c r="J29" s="4"/>
      <c r="K29" s="4"/>
      <c r="L29" s="4"/>
      <c r="M29" s="4">
        <v>3000000</v>
      </c>
      <c r="N29" s="4">
        <v>1000000</v>
      </c>
      <c r="O29" s="4">
        <v>1000000</v>
      </c>
      <c r="P29" s="44">
        <v>0</v>
      </c>
      <c r="Q29" s="44">
        <v>5200000</v>
      </c>
      <c r="R29" s="44">
        <v>2600000</v>
      </c>
      <c r="S29" s="44">
        <v>14000000</v>
      </c>
      <c r="T29" s="42">
        <f t="shared" si="9"/>
        <v>28000000</v>
      </c>
      <c r="U29" s="26">
        <f t="shared" si="7"/>
        <v>0</v>
      </c>
    </row>
    <row r="30" spans="1:22" ht="14.25">
      <c r="A30" s="100">
        <v>2020110109</v>
      </c>
      <c r="B30" s="56" t="s">
        <v>20</v>
      </c>
      <c r="C30" s="272">
        <v>36000000</v>
      </c>
      <c r="D30" s="8"/>
      <c r="E30" s="9"/>
      <c r="F30" s="43"/>
      <c r="G30" s="39">
        <f t="shared" si="8"/>
        <v>36000000</v>
      </c>
      <c r="H30" s="40">
        <v>1700000</v>
      </c>
      <c r="I30" s="2"/>
      <c r="J30" s="4"/>
      <c r="K30" s="4"/>
      <c r="L30" s="4"/>
      <c r="M30" s="4">
        <v>5277736</v>
      </c>
      <c r="N30" s="4">
        <v>2600000</v>
      </c>
      <c r="O30" s="4">
        <v>950000</v>
      </c>
      <c r="P30" s="44">
        <v>0</v>
      </c>
      <c r="Q30" s="44">
        <v>9200000</v>
      </c>
      <c r="R30" s="44">
        <v>4300000</v>
      </c>
      <c r="S30" s="44">
        <v>11972264</v>
      </c>
      <c r="T30" s="42">
        <f>SUM(H30:S30)</f>
        <v>36000000</v>
      </c>
      <c r="U30" s="26">
        <f t="shared" si="7"/>
        <v>0</v>
      </c>
    </row>
    <row r="31" spans="1:22" ht="15" thickBot="1">
      <c r="A31" s="100">
        <v>2020110108</v>
      </c>
      <c r="B31" s="56" t="s">
        <v>21</v>
      </c>
      <c r="C31" s="272">
        <v>55000000</v>
      </c>
      <c r="D31" s="8"/>
      <c r="E31" s="9"/>
      <c r="F31" s="10"/>
      <c r="G31" s="39">
        <f t="shared" si="8"/>
        <v>55000000</v>
      </c>
      <c r="H31" s="40">
        <v>1000000</v>
      </c>
      <c r="I31" s="3">
        <v>0</v>
      </c>
      <c r="J31" s="4">
        <v>0</v>
      </c>
      <c r="K31" s="4">
        <v>0</v>
      </c>
      <c r="L31" s="4">
        <v>0</v>
      </c>
      <c r="M31" s="4">
        <v>0</v>
      </c>
      <c r="N31" s="4"/>
      <c r="O31" s="4">
        <v>0</v>
      </c>
      <c r="P31" s="4">
        <v>0</v>
      </c>
      <c r="Q31" s="4">
        <v>0</v>
      </c>
      <c r="R31" s="4">
        <v>0</v>
      </c>
      <c r="S31" s="4">
        <v>54000000</v>
      </c>
      <c r="T31" s="42">
        <f t="shared" si="9"/>
        <v>55000000</v>
      </c>
      <c r="U31" s="26">
        <f t="shared" si="7"/>
        <v>0</v>
      </c>
    </row>
    <row r="32" spans="1:22">
      <c r="A32" s="114">
        <v>20201102</v>
      </c>
      <c r="B32" s="61" t="s">
        <v>130</v>
      </c>
      <c r="C32" s="61">
        <f>SUM(C33:C35)</f>
        <v>20000000</v>
      </c>
      <c r="D32" s="61">
        <f>SUM(D33:D35)</f>
        <v>0</v>
      </c>
      <c r="E32" s="61">
        <f>SUM(E33:E35)</f>
        <v>0</v>
      </c>
      <c r="F32" s="61">
        <f>SUM(F33:F35)</f>
        <v>0</v>
      </c>
      <c r="G32" s="109">
        <f>SUM(G33:G35)</f>
        <v>20000000</v>
      </c>
      <c r="H32" s="109">
        <f t="shared" ref="H32:T32" si="10">SUM(H33:H35)</f>
        <v>20000000</v>
      </c>
      <c r="I32" s="109">
        <f t="shared" si="10"/>
        <v>0</v>
      </c>
      <c r="J32" s="109">
        <f t="shared" si="10"/>
        <v>0</v>
      </c>
      <c r="K32" s="109">
        <f t="shared" si="10"/>
        <v>0</v>
      </c>
      <c r="L32" s="109">
        <f t="shared" si="10"/>
        <v>0</v>
      </c>
      <c r="M32" s="109">
        <f t="shared" si="10"/>
        <v>0</v>
      </c>
      <c r="N32" s="109">
        <f t="shared" si="10"/>
        <v>0</v>
      </c>
      <c r="O32" s="109">
        <f t="shared" si="10"/>
        <v>0</v>
      </c>
      <c r="P32" s="109">
        <f t="shared" si="10"/>
        <v>0</v>
      </c>
      <c r="Q32" s="109">
        <f t="shared" si="10"/>
        <v>0</v>
      </c>
      <c r="R32" s="109">
        <f t="shared" si="10"/>
        <v>0</v>
      </c>
      <c r="S32" s="109">
        <f t="shared" si="10"/>
        <v>0</v>
      </c>
      <c r="T32" s="109">
        <f t="shared" si="10"/>
        <v>20000000</v>
      </c>
      <c r="U32" s="26">
        <f t="shared" si="7"/>
        <v>0</v>
      </c>
    </row>
    <row r="33" spans="1:21" ht="14.25">
      <c r="A33" s="100" t="s">
        <v>24</v>
      </c>
      <c r="B33" s="57" t="s">
        <v>25</v>
      </c>
      <c r="C33" s="258">
        <v>20000000</v>
      </c>
      <c r="D33" s="8"/>
      <c r="E33" s="11"/>
      <c r="F33" s="10"/>
      <c r="G33" s="39">
        <f>C33+D33+E33-F33</f>
        <v>20000000</v>
      </c>
      <c r="H33" s="41">
        <v>20000000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2">
        <f t="shared" si="9"/>
        <v>20000000</v>
      </c>
      <c r="U33" s="26">
        <f t="shared" si="7"/>
        <v>0</v>
      </c>
    </row>
    <row r="34" spans="1:21">
      <c r="A34" s="100" t="s">
        <v>26</v>
      </c>
      <c r="B34" s="56" t="s">
        <v>27</v>
      </c>
      <c r="C34" s="102">
        <v>0</v>
      </c>
      <c r="D34" s="8"/>
      <c r="E34" s="9"/>
      <c r="F34" s="10"/>
      <c r="G34" s="39">
        <f>C34+D34+E34-F34</f>
        <v>0</v>
      </c>
      <c r="H34" s="39">
        <f t="shared" ref="H34:S35" si="11">D34+E34+F34-G34</f>
        <v>0</v>
      </c>
      <c r="I34" s="39">
        <f t="shared" si="11"/>
        <v>0</v>
      </c>
      <c r="J34" s="39">
        <f t="shared" si="11"/>
        <v>0</v>
      </c>
      <c r="K34" s="39">
        <f t="shared" si="11"/>
        <v>0</v>
      </c>
      <c r="L34" s="39">
        <f t="shared" si="11"/>
        <v>0</v>
      </c>
      <c r="M34" s="39">
        <f t="shared" si="11"/>
        <v>0</v>
      </c>
      <c r="N34" s="39">
        <f t="shared" si="11"/>
        <v>0</v>
      </c>
      <c r="O34" s="39">
        <f t="shared" si="11"/>
        <v>0</v>
      </c>
      <c r="P34" s="39">
        <f t="shared" si="11"/>
        <v>0</v>
      </c>
      <c r="Q34" s="39">
        <f t="shared" si="11"/>
        <v>0</v>
      </c>
      <c r="R34" s="39">
        <f t="shared" si="11"/>
        <v>0</v>
      </c>
      <c r="S34" s="39">
        <f t="shared" si="11"/>
        <v>0</v>
      </c>
      <c r="T34" s="42">
        <f t="shared" si="9"/>
        <v>0</v>
      </c>
      <c r="U34" s="26">
        <f t="shared" si="7"/>
        <v>0</v>
      </c>
    </row>
    <row r="35" spans="1:21">
      <c r="A35" s="100" t="s">
        <v>28</v>
      </c>
      <c r="B35" s="58" t="s">
        <v>29</v>
      </c>
      <c r="C35" s="102">
        <v>0</v>
      </c>
      <c r="D35" s="8"/>
      <c r="E35" s="9"/>
      <c r="F35" s="10"/>
      <c r="G35" s="39">
        <f>C35+D35+E35-F35</f>
        <v>0</v>
      </c>
      <c r="H35" s="39">
        <f t="shared" si="11"/>
        <v>0</v>
      </c>
      <c r="I35" s="39">
        <f t="shared" si="11"/>
        <v>0</v>
      </c>
      <c r="J35" s="39">
        <f t="shared" si="11"/>
        <v>0</v>
      </c>
      <c r="K35" s="39">
        <f t="shared" si="11"/>
        <v>0</v>
      </c>
      <c r="L35" s="39">
        <f t="shared" si="11"/>
        <v>0</v>
      </c>
      <c r="M35" s="39">
        <f t="shared" si="11"/>
        <v>0</v>
      </c>
      <c r="N35" s="39">
        <f t="shared" si="11"/>
        <v>0</v>
      </c>
      <c r="O35" s="39">
        <f t="shared" si="11"/>
        <v>0</v>
      </c>
      <c r="P35" s="39">
        <f t="shared" si="11"/>
        <v>0</v>
      </c>
      <c r="Q35" s="39">
        <f t="shared" si="11"/>
        <v>0</v>
      </c>
      <c r="R35" s="39">
        <f t="shared" si="11"/>
        <v>0</v>
      </c>
      <c r="S35" s="39">
        <f t="shared" si="11"/>
        <v>0</v>
      </c>
      <c r="T35" s="42">
        <f t="shared" si="9"/>
        <v>0</v>
      </c>
      <c r="U35" s="26">
        <f t="shared" si="7"/>
        <v>0</v>
      </c>
    </row>
    <row r="36" spans="1:21" ht="24" customHeight="1" thickBot="1">
      <c r="A36" s="112"/>
      <c r="B36" s="66" t="s">
        <v>131</v>
      </c>
      <c r="C36" s="67">
        <f>C37+C42</f>
        <v>149019000</v>
      </c>
      <c r="D36" s="63">
        <f>D37+D42</f>
        <v>0</v>
      </c>
      <c r="E36" s="64">
        <f>E37+E42+E58</f>
        <v>0</v>
      </c>
      <c r="F36" s="64">
        <f>F37+F42+F58</f>
        <v>0</v>
      </c>
      <c r="G36" s="64">
        <f>G37+G42</f>
        <v>149019000</v>
      </c>
      <c r="H36" s="64">
        <f t="shared" ref="H36:S36" si="12">H37+H42</f>
        <v>23101918</v>
      </c>
      <c r="I36" s="64">
        <f t="shared" si="12"/>
        <v>16301918</v>
      </c>
      <c r="J36" s="64">
        <f t="shared" si="12"/>
        <v>26701918</v>
      </c>
      <c r="K36" s="64">
        <f t="shared" si="12"/>
        <v>6468918</v>
      </c>
      <c r="L36" s="64">
        <f t="shared" si="12"/>
        <v>6469018</v>
      </c>
      <c r="M36" s="64">
        <f t="shared" si="12"/>
        <v>23719484</v>
      </c>
      <c r="N36" s="64">
        <f t="shared" si="12"/>
        <v>6418584</v>
      </c>
      <c r="O36" s="64">
        <f t="shared" si="12"/>
        <v>6418584</v>
      </c>
      <c r="P36" s="64">
        <f t="shared" si="12"/>
        <v>7466918</v>
      </c>
      <c r="Q36" s="64">
        <f t="shared" si="12"/>
        <v>7701918</v>
      </c>
      <c r="R36" s="64">
        <f t="shared" si="12"/>
        <v>8201918</v>
      </c>
      <c r="S36" s="64">
        <f t="shared" si="12"/>
        <v>9797902</v>
      </c>
      <c r="T36" s="67">
        <f>T42+T37</f>
        <v>149019000</v>
      </c>
      <c r="U36" s="26">
        <f t="shared" si="7"/>
        <v>0</v>
      </c>
    </row>
    <row r="37" spans="1:21">
      <c r="A37" s="114">
        <v>20201201</v>
      </c>
      <c r="B37" s="61" t="s">
        <v>132</v>
      </c>
      <c r="C37" s="109">
        <f>SUM(C38:C41)</f>
        <v>21300000</v>
      </c>
      <c r="D37" s="61">
        <f>SUM(D38:D41)</f>
        <v>0</v>
      </c>
      <c r="E37" s="61">
        <f>SUM(E38:E41)</f>
        <v>0</v>
      </c>
      <c r="F37" s="61">
        <f>SUM(F38:F41)</f>
        <v>0</v>
      </c>
      <c r="G37" s="109">
        <f>SUM(G38:G41)</f>
        <v>21300000</v>
      </c>
      <c r="H37" s="109">
        <f t="shared" ref="H37:T37" si="13">SUM(H38:H41)</f>
        <v>14000000</v>
      </c>
      <c r="I37" s="109">
        <f t="shared" si="13"/>
        <v>6000000</v>
      </c>
      <c r="J37" s="109">
        <f t="shared" si="13"/>
        <v>0</v>
      </c>
      <c r="K37" s="109">
        <f t="shared" si="13"/>
        <v>0</v>
      </c>
      <c r="L37" s="109">
        <f t="shared" si="13"/>
        <v>0</v>
      </c>
      <c r="M37" s="109">
        <f t="shared" si="13"/>
        <v>0</v>
      </c>
      <c r="N37" s="109">
        <f t="shared" si="13"/>
        <v>0</v>
      </c>
      <c r="O37" s="109">
        <f t="shared" si="13"/>
        <v>0</v>
      </c>
      <c r="P37" s="109">
        <f t="shared" si="13"/>
        <v>0</v>
      </c>
      <c r="Q37" s="109">
        <f t="shared" si="13"/>
        <v>0</v>
      </c>
      <c r="R37" s="109">
        <f t="shared" si="13"/>
        <v>0</v>
      </c>
      <c r="S37" s="109">
        <f t="shared" si="13"/>
        <v>1300000</v>
      </c>
      <c r="T37" s="109">
        <f t="shared" si="13"/>
        <v>21300000</v>
      </c>
      <c r="U37" s="26">
        <f t="shared" si="7"/>
        <v>0</v>
      </c>
    </row>
    <row r="38" spans="1:21" ht="14.25">
      <c r="A38" s="100" t="s">
        <v>32</v>
      </c>
      <c r="B38" s="58" t="s">
        <v>33</v>
      </c>
      <c r="C38" s="267">
        <v>6000000</v>
      </c>
      <c r="D38" s="8"/>
      <c r="E38" s="9"/>
      <c r="F38" s="10"/>
      <c r="G38" s="39">
        <f>C38+D38+E38-F38</f>
        <v>6000000</v>
      </c>
      <c r="H38" s="41">
        <v>6000000</v>
      </c>
      <c r="I38" s="2"/>
      <c r="J38" s="2"/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42">
        <f t="shared" ref="T38:T63" si="14">SUM(H38:S38)</f>
        <v>6000000</v>
      </c>
      <c r="U38" s="26">
        <f t="shared" si="7"/>
        <v>0</v>
      </c>
    </row>
    <row r="39" spans="1:21" ht="14.25">
      <c r="A39" s="100" t="s">
        <v>34</v>
      </c>
      <c r="B39" s="59" t="s">
        <v>35</v>
      </c>
      <c r="C39" s="267">
        <v>14000000</v>
      </c>
      <c r="D39" s="45"/>
      <c r="E39" s="9"/>
      <c r="F39" s="10"/>
      <c r="G39" s="39">
        <f>C39+D39+E39-F39</f>
        <v>14000000</v>
      </c>
      <c r="H39" s="40">
        <v>8000000</v>
      </c>
      <c r="I39" s="40">
        <v>6000000</v>
      </c>
      <c r="J39" s="40"/>
      <c r="K39" s="40"/>
      <c r="L39" s="40"/>
      <c r="M39" s="40">
        <v>0</v>
      </c>
      <c r="N39" s="40">
        <v>0</v>
      </c>
      <c r="O39" s="40"/>
      <c r="P39" s="40"/>
      <c r="Q39" s="40">
        <v>0</v>
      </c>
      <c r="R39" s="40">
        <v>0</v>
      </c>
      <c r="S39" s="40"/>
      <c r="T39" s="42">
        <f t="shared" si="14"/>
        <v>14000000</v>
      </c>
      <c r="U39" s="26">
        <f t="shared" si="7"/>
        <v>0</v>
      </c>
    </row>
    <row r="40" spans="1:21" ht="14.25">
      <c r="A40" s="100" t="s">
        <v>36</v>
      </c>
      <c r="B40" s="58" t="s">
        <v>37</v>
      </c>
      <c r="C40" s="267">
        <v>1300000</v>
      </c>
      <c r="D40" s="8"/>
      <c r="E40" s="9"/>
      <c r="F40" s="10"/>
      <c r="G40" s="39">
        <f>C40+D40+E40-F40</f>
        <v>1300000</v>
      </c>
      <c r="H40" s="41"/>
      <c r="I40" s="40"/>
      <c r="J40" s="40"/>
      <c r="K40" s="40"/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1300000</v>
      </c>
      <c r="T40" s="42">
        <f t="shared" si="14"/>
        <v>1300000</v>
      </c>
      <c r="U40" s="26">
        <f t="shared" si="7"/>
        <v>0</v>
      </c>
    </row>
    <row r="41" spans="1:21" ht="14.25">
      <c r="A41" s="100" t="s">
        <v>38</v>
      </c>
      <c r="B41" s="58" t="s">
        <v>39</v>
      </c>
      <c r="C41" s="267">
        <v>0</v>
      </c>
      <c r="D41" s="8">
        <v>0</v>
      </c>
      <c r="E41" s="9">
        <v>0</v>
      </c>
      <c r="F41" s="10">
        <v>0</v>
      </c>
      <c r="G41" s="39">
        <f>C41+D41+E41-F41</f>
        <v>0</v>
      </c>
      <c r="H41" s="41">
        <f t="shared" ref="H41:R41" si="15">ROUND($G$41/12,-1)</f>
        <v>0</v>
      </c>
      <c r="I41" s="40"/>
      <c r="J41" s="40">
        <v>0</v>
      </c>
      <c r="K41" s="40">
        <v>0</v>
      </c>
      <c r="L41" s="41">
        <f t="shared" si="15"/>
        <v>0</v>
      </c>
      <c r="M41" s="41">
        <f t="shared" si="15"/>
        <v>0</v>
      </c>
      <c r="N41" s="41">
        <f t="shared" si="15"/>
        <v>0</v>
      </c>
      <c r="O41" s="41">
        <f t="shared" si="15"/>
        <v>0</v>
      </c>
      <c r="P41" s="41">
        <f t="shared" si="15"/>
        <v>0</v>
      </c>
      <c r="Q41" s="41">
        <f t="shared" si="15"/>
        <v>0</v>
      </c>
      <c r="R41" s="41">
        <f t="shared" si="15"/>
        <v>0</v>
      </c>
      <c r="S41" s="41">
        <f>G41-SUM(H41:R41)</f>
        <v>0</v>
      </c>
      <c r="T41" s="42">
        <f t="shared" si="14"/>
        <v>0</v>
      </c>
      <c r="U41" s="26">
        <f t="shared" si="7"/>
        <v>0</v>
      </c>
    </row>
    <row r="42" spans="1:21">
      <c r="A42" s="114" t="s">
        <v>40</v>
      </c>
      <c r="B42" s="101" t="s">
        <v>133</v>
      </c>
      <c r="C42" s="286">
        <f>SUM(C43:C58)</f>
        <v>127719000</v>
      </c>
      <c r="D42" s="101">
        <f>SUM(D43:D56)</f>
        <v>0</v>
      </c>
      <c r="E42" s="103">
        <f>SUM(E43:E57)</f>
        <v>0</v>
      </c>
      <c r="F42" s="103">
        <f>SUM(F43:F57)</f>
        <v>0</v>
      </c>
      <c r="G42" s="103">
        <f t="shared" ref="G42:L42" si="16">ROUND(SUM(G43:G58),0)</f>
        <v>127719000</v>
      </c>
      <c r="H42" s="103">
        <f t="shared" si="16"/>
        <v>9101918</v>
      </c>
      <c r="I42" s="103">
        <f t="shared" si="16"/>
        <v>10301918</v>
      </c>
      <c r="J42" s="103">
        <f t="shared" si="16"/>
        <v>26701918</v>
      </c>
      <c r="K42" s="103">
        <f t="shared" si="16"/>
        <v>6468918</v>
      </c>
      <c r="L42" s="103">
        <f t="shared" si="16"/>
        <v>6469018</v>
      </c>
      <c r="M42" s="103">
        <f>ROUND(SUM(M43:M57),0)</f>
        <v>23719484</v>
      </c>
      <c r="N42" s="103">
        <f>ROUND(SUM(N43:N57),0)</f>
        <v>6418584</v>
      </c>
      <c r="O42" s="103">
        <f>ROUND(SUM(O43:O57),0)</f>
        <v>6418584</v>
      </c>
      <c r="P42" s="103">
        <f>ROUND(SUM(P43:P58),0)</f>
        <v>7466918</v>
      </c>
      <c r="Q42" s="103">
        <f>ROUND(SUM(Q43:Q58),0)</f>
        <v>7701918</v>
      </c>
      <c r="R42" s="103">
        <f>ROUND(SUM(R43:R58),0)</f>
        <v>8201918</v>
      </c>
      <c r="S42" s="103">
        <f>ROUND(SUM(S43:S58),0)</f>
        <v>8497902</v>
      </c>
      <c r="T42" s="104">
        <f>SUM(T43:T58)</f>
        <v>127719000</v>
      </c>
      <c r="U42" s="26">
        <f t="shared" si="7"/>
        <v>0</v>
      </c>
    </row>
    <row r="43" spans="1:21" ht="14.25">
      <c r="A43" s="100" t="s">
        <v>42</v>
      </c>
      <c r="B43" s="58" t="s">
        <v>43</v>
      </c>
      <c r="C43" s="267">
        <v>9000000</v>
      </c>
      <c r="D43" s="45"/>
      <c r="E43" s="11"/>
      <c r="F43" s="10"/>
      <c r="G43" s="39">
        <f>C43+D43+E43-F43</f>
        <v>9000000</v>
      </c>
      <c r="H43" s="40">
        <v>1400000</v>
      </c>
      <c r="I43" s="40">
        <v>2500000</v>
      </c>
      <c r="J43" s="40"/>
      <c r="K43" s="40"/>
      <c r="L43" s="44"/>
      <c r="M43" s="40">
        <v>1200000</v>
      </c>
      <c r="N43" s="40"/>
      <c r="O43" s="44"/>
      <c r="P43" s="40"/>
      <c r="Q43" s="40">
        <v>1200000</v>
      </c>
      <c r="R43" s="44">
        <v>1700000</v>
      </c>
      <c r="S43" s="44">
        <v>1000000</v>
      </c>
      <c r="T43" s="42">
        <f>SUM(H43:S43)</f>
        <v>9000000</v>
      </c>
      <c r="U43" s="26">
        <f t="shared" si="7"/>
        <v>0</v>
      </c>
    </row>
    <row r="44" spans="1:21" ht="14.25">
      <c r="A44" s="100">
        <v>2020120202</v>
      </c>
      <c r="B44" s="58" t="s">
        <v>44</v>
      </c>
      <c r="C44" s="267">
        <v>52500000</v>
      </c>
      <c r="D44" s="45"/>
      <c r="E44" s="11"/>
      <c r="F44" s="10"/>
      <c r="G44" s="39">
        <f t="shared" ref="G44:G76" si="17">C44+D44+E44-F44</f>
        <v>52500000</v>
      </c>
      <c r="H44" s="40">
        <v>4375000</v>
      </c>
      <c r="I44" s="40">
        <v>4375000</v>
      </c>
      <c r="J44" s="40">
        <v>4375000</v>
      </c>
      <c r="K44" s="40">
        <v>4375000</v>
      </c>
      <c r="L44" s="40">
        <v>4375000</v>
      </c>
      <c r="M44" s="40">
        <v>4375000</v>
      </c>
      <c r="N44" s="40">
        <v>4375000</v>
      </c>
      <c r="O44" s="40">
        <v>4375000</v>
      </c>
      <c r="P44" s="40">
        <v>4375000</v>
      </c>
      <c r="Q44" s="40">
        <v>4375000</v>
      </c>
      <c r="R44" s="40">
        <v>4375000</v>
      </c>
      <c r="S44" s="40">
        <v>4375000</v>
      </c>
      <c r="T44" s="42">
        <f t="shared" si="14"/>
        <v>52500000</v>
      </c>
      <c r="U44" s="26">
        <f t="shared" si="7"/>
        <v>0</v>
      </c>
    </row>
    <row r="45" spans="1:21" ht="14.25">
      <c r="A45" s="100" t="s">
        <v>45</v>
      </c>
      <c r="B45" s="58" t="s">
        <v>46</v>
      </c>
      <c r="C45" s="267">
        <v>2000000</v>
      </c>
      <c r="D45" s="8"/>
      <c r="E45" s="9"/>
      <c r="F45" s="10"/>
      <c r="G45" s="39">
        <f t="shared" si="17"/>
        <v>2000000</v>
      </c>
      <c r="H45" s="40">
        <v>200000</v>
      </c>
      <c r="I45" s="4"/>
      <c r="J45" s="4"/>
      <c r="K45" s="4">
        <v>167000</v>
      </c>
      <c r="L45" s="4">
        <v>167100</v>
      </c>
      <c r="M45" s="4">
        <v>300900</v>
      </c>
      <c r="N45" s="4">
        <v>200000</v>
      </c>
      <c r="O45" s="41">
        <v>200000</v>
      </c>
      <c r="P45" s="41">
        <v>165000</v>
      </c>
      <c r="Q45" s="4">
        <v>200000</v>
      </c>
      <c r="R45" s="41">
        <v>200000</v>
      </c>
      <c r="S45" s="41">
        <v>200000</v>
      </c>
      <c r="T45" s="42">
        <f t="shared" si="14"/>
        <v>2000000</v>
      </c>
      <c r="U45" s="26">
        <f t="shared" si="7"/>
        <v>0</v>
      </c>
    </row>
    <row r="46" spans="1:21" ht="14.25">
      <c r="A46" s="100" t="s">
        <v>47</v>
      </c>
      <c r="B46" s="58" t="s">
        <v>48</v>
      </c>
      <c r="C46" s="267">
        <v>11619000</v>
      </c>
      <c r="D46" s="8"/>
      <c r="E46" s="9"/>
      <c r="F46" s="10"/>
      <c r="G46" s="39">
        <f t="shared" si="17"/>
        <v>11619000</v>
      </c>
      <c r="H46" s="40">
        <v>968250</v>
      </c>
      <c r="I46" s="40">
        <v>968250</v>
      </c>
      <c r="J46" s="40">
        <v>968250</v>
      </c>
      <c r="K46" s="40">
        <v>968250</v>
      </c>
      <c r="L46" s="40">
        <v>968250</v>
      </c>
      <c r="M46" s="40">
        <v>968250</v>
      </c>
      <c r="N46" s="40">
        <v>968250</v>
      </c>
      <c r="O46" s="40">
        <v>968250</v>
      </c>
      <c r="P46" s="40">
        <v>968250</v>
      </c>
      <c r="Q46" s="40">
        <v>968250</v>
      </c>
      <c r="R46" s="40">
        <v>968250</v>
      </c>
      <c r="S46" s="40">
        <v>968250</v>
      </c>
      <c r="T46" s="42">
        <f t="shared" si="14"/>
        <v>11619000</v>
      </c>
      <c r="U46" s="26">
        <f t="shared" si="7"/>
        <v>0</v>
      </c>
    </row>
    <row r="47" spans="1:21" ht="14.25">
      <c r="A47" s="100" t="s">
        <v>49</v>
      </c>
      <c r="B47" s="58" t="s">
        <v>50</v>
      </c>
      <c r="C47" s="267">
        <v>8000000</v>
      </c>
      <c r="D47" s="8"/>
      <c r="E47" s="11"/>
      <c r="F47" s="10"/>
      <c r="G47" s="39">
        <f t="shared" si="17"/>
        <v>8000000</v>
      </c>
      <c r="H47" s="40">
        <v>667000</v>
      </c>
      <c r="I47" s="40">
        <v>667000</v>
      </c>
      <c r="J47" s="40">
        <v>667000</v>
      </c>
      <c r="K47" s="40">
        <v>667000</v>
      </c>
      <c r="L47" s="40">
        <v>667000</v>
      </c>
      <c r="M47" s="40">
        <v>667000</v>
      </c>
      <c r="N47" s="40">
        <v>667000</v>
      </c>
      <c r="O47" s="40">
        <v>667000</v>
      </c>
      <c r="P47" s="40">
        <v>667000</v>
      </c>
      <c r="Q47" s="40">
        <v>667000</v>
      </c>
      <c r="R47" s="40">
        <v>667000</v>
      </c>
      <c r="S47" s="40">
        <v>663000</v>
      </c>
      <c r="T47" s="42">
        <f t="shared" si="14"/>
        <v>8000000</v>
      </c>
      <c r="U47" s="26">
        <f t="shared" si="7"/>
        <v>0</v>
      </c>
    </row>
    <row r="48" spans="1:21" ht="14.25">
      <c r="A48" s="100" t="s">
        <v>51</v>
      </c>
      <c r="B48" s="58" t="s">
        <v>52</v>
      </c>
      <c r="C48" s="267">
        <v>2500000</v>
      </c>
      <c r="D48" s="8"/>
      <c r="E48" s="9"/>
      <c r="F48" s="10"/>
      <c r="G48" s="39">
        <f t="shared" si="17"/>
        <v>2500000</v>
      </c>
      <c r="H48" s="40">
        <v>208334</v>
      </c>
      <c r="I48" s="40">
        <v>208334</v>
      </c>
      <c r="J48" s="40">
        <v>208334</v>
      </c>
      <c r="K48" s="40">
        <v>208334</v>
      </c>
      <c r="L48" s="40">
        <v>208334</v>
      </c>
      <c r="M48" s="40">
        <v>208334</v>
      </c>
      <c r="N48" s="40">
        <v>208334</v>
      </c>
      <c r="O48" s="40">
        <v>208334</v>
      </c>
      <c r="P48" s="40">
        <v>208334</v>
      </c>
      <c r="Q48" s="40">
        <v>208334</v>
      </c>
      <c r="R48" s="40">
        <v>208334</v>
      </c>
      <c r="S48" s="40">
        <v>208326</v>
      </c>
      <c r="T48" s="42">
        <f t="shared" si="14"/>
        <v>2500000</v>
      </c>
      <c r="U48" s="26">
        <f t="shared" si="7"/>
        <v>0</v>
      </c>
    </row>
    <row r="49" spans="1:22" ht="14.25">
      <c r="A49" s="100" t="s">
        <v>53</v>
      </c>
      <c r="B49" s="59" t="s">
        <v>54</v>
      </c>
      <c r="C49" s="267">
        <v>1500000</v>
      </c>
      <c r="D49" s="8"/>
      <c r="E49" s="9"/>
      <c r="F49" s="10"/>
      <c r="G49" s="39">
        <f t="shared" si="17"/>
        <v>1500000</v>
      </c>
      <c r="H49" s="40"/>
      <c r="I49" s="40">
        <v>1500000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2">
        <f t="shared" si="14"/>
        <v>1500000</v>
      </c>
      <c r="U49" s="26">
        <f t="shared" si="7"/>
        <v>0</v>
      </c>
    </row>
    <row r="50" spans="1:22" ht="14.25">
      <c r="A50" s="100" t="s">
        <v>55</v>
      </c>
      <c r="B50" s="58" t="s">
        <v>56</v>
      </c>
      <c r="C50" s="267">
        <v>0</v>
      </c>
      <c r="D50" s="8"/>
      <c r="E50" s="9"/>
      <c r="F50" s="10"/>
      <c r="G50" s="39">
        <f t="shared" si="17"/>
        <v>0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2">
        <f t="shared" si="14"/>
        <v>0</v>
      </c>
      <c r="U50" s="26">
        <f t="shared" si="7"/>
        <v>0</v>
      </c>
    </row>
    <row r="51" spans="1:22" ht="14.25">
      <c r="A51" s="100" t="s">
        <v>57</v>
      </c>
      <c r="B51" s="58" t="s">
        <v>58</v>
      </c>
      <c r="C51" s="267">
        <v>9400000</v>
      </c>
      <c r="D51" s="8"/>
      <c r="E51" s="11"/>
      <c r="F51" s="10"/>
      <c r="G51" s="39">
        <f t="shared" si="17"/>
        <v>9400000</v>
      </c>
      <c r="H51" s="40"/>
      <c r="I51" s="6"/>
      <c r="J51" s="6">
        <v>9400000</v>
      </c>
      <c r="K51" s="6"/>
      <c r="L51" s="6"/>
      <c r="M51" s="6"/>
      <c r="N51" s="6"/>
      <c r="O51" s="6"/>
      <c r="P51" s="6"/>
      <c r="Q51" s="6"/>
      <c r="R51" s="41"/>
      <c r="S51" s="41"/>
      <c r="T51" s="42">
        <f t="shared" si="14"/>
        <v>9400000</v>
      </c>
      <c r="U51" s="26">
        <f t="shared" si="7"/>
        <v>0</v>
      </c>
    </row>
    <row r="52" spans="1:22" ht="14.25">
      <c r="A52" s="100" t="s">
        <v>59</v>
      </c>
      <c r="B52" s="59" t="s">
        <v>60</v>
      </c>
      <c r="C52" s="267">
        <v>10000000</v>
      </c>
      <c r="D52" s="8"/>
      <c r="E52" s="9"/>
      <c r="F52" s="10"/>
      <c r="G52" s="39">
        <f t="shared" si="17"/>
        <v>10000000</v>
      </c>
      <c r="H52" s="40"/>
      <c r="I52" s="6"/>
      <c r="J52" s="6">
        <v>10000000</v>
      </c>
      <c r="K52" s="6"/>
      <c r="L52" s="6"/>
      <c r="M52" s="6"/>
      <c r="N52" s="6"/>
      <c r="O52" s="6"/>
      <c r="P52" s="6"/>
      <c r="Q52" s="6"/>
      <c r="R52" s="6"/>
      <c r="S52" s="6"/>
      <c r="T52" s="42">
        <f t="shared" si="14"/>
        <v>10000000</v>
      </c>
      <c r="U52" s="26">
        <f t="shared" si="7"/>
        <v>0</v>
      </c>
    </row>
    <row r="53" spans="1:22" ht="14.25">
      <c r="A53" s="100" t="s">
        <v>61</v>
      </c>
      <c r="B53" s="58" t="s">
        <v>62</v>
      </c>
      <c r="C53" s="267">
        <v>4000000</v>
      </c>
      <c r="D53" s="8"/>
      <c r="E53" s="9"/>
      <c r="F53" s="10"/>
      <c r="G53" s="39">
        <f t="shared" si="17"/>
        <v>4000000</v>
      </c>
      <c r="H53" s="40"/>
      <c r="I53" s="40"/>
      <c r="J53" s="40">
        <v>1000000</v>
      </c>
      <c r="K53" s="40"/>
      <c r="L53" s="40"/>
      <c r="M53" s="40">
        <v>1000000</v>
      </c>
      <c r="N53" s="40"/>
      <c r="O53" s="40"/>
      <c r="P53" s="40">
        <v>1000000</v>
      </c>
      <c r="Q53" s="40"/>
      <c r="R53" s="41"/>
      <c r="S53" s="41">
        <v>1000000</v>
      </c>
      <c r="T53" s="42">
        <f t="shared" si="14"/>
        <v>4000000</v>
      </c>
      <c r="U53" s="26">
        <f t="shared" si="7"/>
        <v>0</v>
      </c>
    </row>
    <row r="54" spans="1:22" ht="14.25">
      <c r="A54" s="100" t="s">
        <v>63</v>
      </c>
      <c r="B54" s="58" t="s">
        <v>64</v>
      </c>
      <c r="C54" s="267">
        <v>15000000</v>
      </c>
      <c r="D54" s="8"/>
      <c r="E54" s="9"/>
      <c r="F54" s="10"/>
      <c r="G54" s="39">
        <f t="shared" si="17"/>
        <v>15000000</v>
      </c>
      <c r="H54" s="40">
        <v>0</v>
      </c>
      <c r="I54" s="40">
        <v>0</v>
      </c>
      <c r="J54" s="40">
        <v>0</v>
      </c>
      <c r="K54" s="40">
        <v>0</v>
      </c>
      <c r="L54" s="40"/>
      <c r="M54" s="40">
        <v>15000000</v>
      </c>
      <c r="N54" s="40"/>
      <c r="O54" s="40"/>
      <c r="P54" s="40"/>
      <c r="Q54" s="40"/>
      <c r="R54" s="41"/>
      <c r="S54" s="41"/>
      <c r="T54" s="42">
        <f t="shared" si="14"/>
        <v>15000000</v>
      </c>
      <c r="U54" s="26">
        <f t="shared" si="7"/>
        <v>0</v>
      </c>
    </row>
    <row r="55" spans="1:22" ht="14.25">
      <c r="A55" s="100">
        <v>2020120213</v>
      </c>
      <c r="B55" s="58" t="s">
        <v>65</v>
      </c>
      <c r="C55" s="267">
        <v>0</v>
      </c>
      <c r="D55" s="8"/>
      <c r="E55" s="9"/>
      <c r="F55" s="10"/>
      <c r="G55" s="39">
        <f t="shared" si="17"/>
        <v>0</v>
      </c>
      <c r="H55" s="40">
        <v>0</v>
      </c>
      <c r="I55" s="40">
        <v>0</v>
      </c>
      <c r="J55" s="40">
        <v>0</v>
      </c>
      <c r="K55" s="40">
        <v>0</v>
      </c>
      <c r="L55" s="40"/>
      <c r="M55" s="40"/>
      <c r="N55" s="40"/>
      <c r="O55" s="40"/>
      <c r="P55" s="40"/>
      <c r="Q55" s="40"/>
      <c r="R55" s="41"/>
      <c r="S55" s="41"/>
      <c r="T55" s="42">
        <f t="shared" si="14"/>
        <v>0</v>
      </c>
      <c r="U55" s="26">
        <f t="shared" si="7"/>
        <v>0</v>
      </c>
    </row>
    <row r="56" spans="1:22" ht="14.25">
      <c r="A56" s="100" t="s">
        <v>66</v>
      </c>
      <c r="B56" s="58" t="s">
        <v>67</v>
      </c>
      <c r="C56" s="267">
        <v>0</v>
      </c>
      <c r="D56" s="8"/>
      <c r="E56" s="9"/>
      <c r="F56" s="10"/>
      <c r="G56" s="39">
        <f t="shared" si="17"/>
        <v>0</v>
      </c>
      <c r="H56" s="40">
        <v>0</v>
      </c>
      <c r="I56" s="40">
        <v>0</v>
      </c>
      <c r="J56" s="40">
        <v>0</v>
      </c>
      <c r="K56" s="40">
        <v>0</v>
      </c>
      <c r="L56" s="40"/>
      <c r="M56" s="40"/>
      <c r="N56" s="40"/>
      <c r="O56" s="40"/>
      <c r="P56" s="40"/>
      <c r="Q56" s="40"/>
      <c r="R56" s="41"/>
      <c r="S56" s="41"/>
      <c r="T56" s="42">
        <f t="shared" si="14"/>
        <v>0</v>
      </c>
      <c r="U56" s="26">
        <f t="shared" si="7"/>
        <v>0</v>
      </c>
    </row>
    <row r="57" spans="1:22" ht="14.25">
      <c r="A57" s="100">
        <v>2020120215</v>
      </c>
      <c r="B57" s="58" t="s">
        <v>97</v>
      </c>
      <c r="C57" s="267">
        <v>1200000</v>
      </c>
      <c r="D57" s="8"/>
      <c r="E57" s="11"/>
      <c r="F57" s="10"/>
      <c r="G57" s="39">
        <f t="shared" si="17"/>
        <v>1200000</v>
      </c>
      <c r="H57" s="41">
        <v>1200000</v>
      </c>
      <c r="I57" s="41">
        <v>0</v>
      </c>
      <c r="J57" s="41">
        <v>0</v>
      </c>
      <c r="K57" s="41">
        <v>0</v>
      </c>
      <c r="L57" s="41"/>
      <c r="M57" s="41"/>
      <c r="N57" s="41"/>
      <c r="O57" s="41"/>
      <c r="P57" s="41"/>
      <c r="Q57" s="41"/>
      <c r="R57" s="41"/>
      <c r="S57" s="41"/>
      <c r="T57" s="42">
        <f t="shared" si="14"/>
        <v>1200000</v>
      </c>
      <c r="U57" s="26">
        <f t="shared" si="7"/>
        <v>0</v>
      </c>
    </row>
    <row r="58" spans="1:22" ht="14.25">
      <c r="A58" s="100">
        <v>2020120216</v>
      </c>
      <c r="B58" s="277" t="s">
        <v>148</v>
      </c>
      <c r="C58" s="267">
        <v>1000000</v>
      </c>
      <c r="D58" s="8"/>
      <c r="E58" s="11"/>
      <c r="F58" s="10"/>
      <c r="G58" s="39">
        <f t="shared" si="17"/>
        <v>1000000</v>
      </c>
      <c r="H58" s="41">
        <v>83334</v>
      </c>
      <c r="I58" s="41">
        <v>83334</v>
      </c>
      <c r="J58" s="41">
        <v>83334</v>
      </c>
      <c r="K58" s="41">
        <v>83334</v>
      </c>
      <c r="L58" s="41">
        <v>83334</v>
      </c>
      <c r="M58" s="41">
        <v>83334</v>
      </c>
      <c r="N58" s="41">
        <v>83334</v>
      </c>
      <c r="O58" s="41">
        <v>83334</v>
      </c>
      <c r="P58" s="41">
        <v>83334</v>
      </c>
      <c r="Q58" s="41">
        <v>83334</v>
      </c>
      <c r="R58" s="41">
        <v>83334</v>
      </c>
      <c r="S58" s="41">
        <v>83326</v>
      </c>
      <c r="T58" s="42">
        <f t="shared" si="14"/>
        <v>1000000</v>
      </c>
      <c r="U58" s="26">
        <f t="shared" si="7"/>
        <v>0</v>
      </c>
    </row>
    <row r="59" spans="1:22">
      <c r="A59" s="114" t="s">
        <v>68</v>
      </c>
      <c r="B59" s="101" t="s">
        <v>134</v>
      </c>
      <c r="C59" s="101">
        <f>SUM(C60:C63)</f>
        <v>83629741</v>
      </c>
      <c r="D59" s="101">
        <f>SUM(D60:D63)</f>
        <v>0</v>
      </c>
      <c r="E59" s="101">
        <f>SUM(E60:E63)</f>
        <v>0</v>
      </c>
      <c r="F59" s="103">
        <f>SUM(F60:F63)</f>
        <v>0</v>
      </c>
      <c r="G59" s="103">
        <f>ROUND(SUM(G60:G63),0)</f>
        <v>83629741</v>
      </c>
      <c r="H59" s="103">
        <f t="shared" ref="H59:S59" si="18">ROUND(SUM(H60:H63),0)</f>
        <v>5535806</v>
      </c>
      <c r="I59" s="103">
        <f t="shared" si="18"/>
        <v>5035806</v>
      </c>
      <c r="J59" s="103">
        <f t="shared" si="18"/>
        <v>5035806</v>
      </c>
      <c r="K59" s="103">
        <f t="shared" si="18"/>
        <v>5035806</v>
      </c>
      <c r="L59" s="103">
        <f t="shared" si="18"/>
        <v>5035806</v>
      </c>
      <c r="M59" s="103">
        <f t="shared" si="18"/>
        <v>5035806</v>
      </c>
      <c r="N59" s="103">
        <f t="shared" si="18"/>
        <v>5035806</v>
      </c>
      <c r="O59" s="103">
        <f t="shared" si="18"/>
        <v>5035806</v>
      </c>
      <c r="P59" s="103">
        <f t="shared" si="18"/>
        <v>5035806</v>
      </c>
      <c r="Q59" s="103">
        <f t="shared" si="18"/>
        <v>5035806</v>
      </c>
      <c r="R59" s="103">
        <f t="shared" si="18"/>
        <v>5035806</v>
      </c>
      <c r="S59" s="103">
        <f t="shared" si="18"/>
        <v>27735875</v>
      </c>
      <c r="T59" s="103">
        <f>SUM(T60:T63)</f>
        <v>83629741</v>
      </c>
      <c r="U59" s="26">
        <f t="shared" si="7"/>
        <v>0</v>
      </c>
    </row>
    <row r="60" spans="1:22" ht="14.25">
      <c r="A60" s="100" t="s">
        <v>70</v>
      </c>
      <c r="B60" s="58" t="s">
        <v>71</v>
      </c>
      <c r="C60" s="420">
        <v>16000083</v>
      </c>
      <c r="D60" s="8"/>
      <c r="E60" s="9"/>
      <c r="F60" s="10"/>
      <c r="G60" s="39">
        <f t="shared" si="17"/>
        <v>16000083</v>
      </c>
      <c r="H60" s="40">
        <v>0</v>
      </c>
      <c r="I60" s="5"/>
      <c r="J60" s="5"/>
      <c r="K60" s="5"/>
      <c r="L60" s="5"/>
      <c r="M60" s="5"/>
      <c r="N60" s="5"/>
      <c r="O60" s="41"/>
      <c r="P60" s="41"/>
      <c r="Q60" s="41"/>
      <c r="R60" s="41"/>
      <c r="S60" s="41">
        <v>16000083</v>
      </c>
      <c r="T60" s="42">
        <f t="shared" si="14"/>
        <v>16000083</v>
      </c>
      <c r="U60" s="26">
        <f t="shared" si="7"/>
        <v>0</v>
      </c>
    </row>
    <row r="61" spans="1:22" ht="14.25">
      <c r="A61" s="100" t="s">
        <v>72</v>
      </c>
      <c r="B61" s="58" t="s">
        <v>73</v>
      </c>
      <c r="C61" s="420">
        <v>46429658</v>
      </c>
      <c r="D61" s="8"/>
      <c r="E61" s="9"/>
      <c r="F61" s="10"/>
      <c r="G61" s="39">
        <f t="shared" si="17"/>
        <v>46429658</v>
      </c>
      <c r="H61" s="40">
        <v>3869139</v>
      </c>
      <c r="I61" s="40">
        <v>3869139</v>
      </c>
      <c r="J61" s="40">
        <v>3869139</v>
      </c>
      <c r="K61" s="40">
        <v>3869139</v>
      </c>
      <c r="L61" s="40">
        <v>3869139</v>
      </c>
      <c r="M61" s="40">
        <v>3869139</v>
      </c>
      <c r="N61" s="40">
        <v>3869139</v>
      </c>
      <c r="O61" s="40">
        <v>3869139</v>
      </c>
      <c r="P61" s="40">
        <v>3869139</v>
      </c>
      <c r="Q61" s="40">
        <v>3869139</v>
      </c>
      <c r="R61" s="40">
        <v>3869139</v>
      </c>
      <c r="S61" s="40">
        <v>3869129</v>
      </c>
      <c r="T61" s="42">
        <f t="shared" si="14"/>
        <v>46429658</v>
      </c>
      <c r="U61" s="26">
        <f t="shared" si="7"/>
        <v>0</v>
      </c>
      <c r="V61" s="26"/>
    </row>
    <row r="62" spans="1:22" ht="14.25">
      <c r="A62" s="100">
        <v>2020110304</v>
      </c>
      <c r="B62" s="58" t="s">
        <v>74</v>
      </c>
      <c r="C62" s="420">
        <v>14000000</v>
      </c>
      <c r="D62" s="8"/>
      <c r="E62" s="9"/>
      <c r="F62" s="10"/>
      <c r="G62" s="39">
        <f t="shared" si="17"/>
        <v>14000000</v>
      </c>
      <c r="H62" s="40">
        <v>1166667</v>
      </c>
      <c r="I62" s="40">
        <v>1166667</v>
      </c>
      <c r="J62" s="40">
        <v>1166667</v>
      </c>
      <c r="K62" s="40">
        <v>1166667</v>
      </c>
      <c r="L62" s="40">
        <v>1166667</v>
      </c>
      <c r="M62" s="40">
        <v>1166667</v>
      </c>
      <c r="N62" s="40">
        <v>1166667</v>
      </c>
      <c r="O62" s="40">
        <v>1166667</v>
      </c>
      <c r="P62" s="40">
        <v>1166667</v>
      </c>
      <c r="Q62" s="40">
        <v>1166667</v>
      </c>
      <c r="R62" s="40">
        <v>1166667</v>
      </c>
      <c r="S62" s="40">
        <v>1166663</v>
      </c>
      <c r="T62" s="42">
        <f t="shared" si="14"/>
        <v>14000000</v>
      </c>
      <c r="U62" s="26">
        <f t="shared" si="7"/>
        <v>0</v>
      </c>
    </row>
    <row r="63" spans="1:22" ht="14.25">
      <c r="A63" s="100">
        <v>2020110305</v>
      </c>
      <c r="B63" s="58" t="s">
        <v>75</v>
      </c>
      <c r="C63" s="420">
        <v>7200000</v>
      </c>
      <c r="D63" s="8"/>
      <c r="E63" s="9"/>
      <c r="F63" s="10"/>
      <c r="G63" s="39">
        <f t="shared" si="17"/>
        <v>7200000</v>
      </c>
      <c r="H63" s="46">
        <v>500000</v>
      </c>
      <c r="I63" s="4">
        <v>0</v>
      </c>
      <c r="J63" s="4">
        <v>0</v>
      </c>
      <c r="K63" s="4">
        <v>0</v>
      </c>
      <c r="L63" s="4">
        <v>0</v>
      </c>
      <c r="M63" s="4"/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1">
        <v>6700000</v>
      </c>
      <c r="T63" s="42">
        <f t="shared" si="14"/>
        <v>7200000</v>
      </c>
      <c r="U63" s="26">
        <f t="shared" si="7"/>
        <v>0</v>
      </c>
    </row>
    <row r="64" spans="1:22">
      <c r="A64" s="114">
        <v>20201104</v>
      </c>
      <c r="B64" s="101" t="s">
        <v>135</v>
      </c>
      <c r="C64" s="101">
        <f>SUM(C65:C74)</f>
        <v>177100000</v>
      </c>
      <c r="D64" s="101">
        <f>SUM(D65:D74)</f>
        <v>0</v>
      </c>
      <c r="E64" s="101">
        <f>SUM(E65:E74)</f>
        <v>0</v>
      </c>
      <c r="F64" s="101">
        <f>SUM(F65:F74)</f>
        <v>0</v>
      </c>
      <c r="G64" s="104">
        <f>SUM(G65:G74)</f>
        <v>177100000</v>
      </c>
      <c r="H64" s="104">
        <f t="shared" ref="H64:S64" si="19">SUM(H65:H74)</f>
        <v>11591665</v>
      </c>
      <c r="I64" s="104">
        <f t="shared" si="19"/>
        <v>10091665</v>
      </c>
      <c r="J64" s="104">
        <f t="shared" si="19"/>
        <v>10091665</v>
      </c>
      <c r="K64" s="104">
        <f t="shared" si="19"/>
        <v>10091665</v>
      </c>
      <c r="L64" s="104">
        <f t="shared" si="19"/>
        <v>10091665</v>
      </c>
      <c r="M64" s="104">
        <f t="shared" si="19"/>
        <v>10091665</v>
      </c>
      <c r="N64" s="104">
        <f t="shared" si="19"/>
        <v>10091665</v>
      </c>
      <c r="O64" s="104">
        <f t="shared" si="19"/>
        <v>10091665</v>
      </c>
      <c r="P64" s="104">
        <f t="shared" si="19"/>
        <v>10091665</v>
      </c>
      <c r="Q64" s="104">
        <f t="shared" si="19"/>
        <v>10091665</v>
      </c>
      <c r="R64" s="104">
        <f t="shared" si="19"/>
        <v>10091665</v>
      </c>
      <c r="S64" s="104">
        <f t="shared" si="19"/>
        <v>64591685</v>
      </c>
      <c r="T64" s="104">
        <f>SUM(T65:T74)</f>
        <v>177100000</v>
      </c>
      <c r="U64" s="26">
        <f t="shared" si="7"/>
        <v>0</v>
      </c>
    </row>
    <row r="65" spans="1:21" ht="14.25">
      <c r="A65" s="115" t="s">
        <v>77</v>
      </c>
      <c r="B65" s="58" t="s">
        <v>78</v>
      </c>
      <c r="C65" s="272">
        <v>56000000</v>
      </c>
      <c r="D65" s="8"/>
      <c r="E65" s="9"/>
      <c r="F65" s="10"/>
      <c r="G65" s="39">
        <f>ROUND((C65+D65+E65-F65),0)</f>
        <v>56000000</v>
      </c>
      <c r="H65" s="2">
        <v>1500000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/>
      <c r="O65" s="2">
        <v>0</v>
      </c>
      <c r="P65" s="2">
        <v>0</v>
      </c>
      <c r="Q65" s="2">
        <v>0</v>
      </c>
      <c r="R65" s="2">
        <v>0</v>
      </c>
      <c r="S65" s="41">
        <v>54500000</v>
      </c>
      <c r="T65" s="42">
        <f>ROUND(SUM(H65:S65),0)</f>
        <v>56000000</v>
      </c>
      <c r="U65" s="26">
        <f t="shared" si="7"/>
        <v>0</v>
      </c>
    </row>
    <row r="66" spans="1:21" ht="14.25">
      <c r="A66" s="100" t="s">
        <v>79</v>
      </c>
      <c r="B66" s="58" t="s">
        <v>73</v>
      </c>
      <c r="C66" s="272">
        <v>0</v>
      </c>
      <c r="D66" s="8"/>
      <c r="E66" s="9"/>
      <c r="F66" s="10"/>
      <c r="G66" s="39">
        <f t="shared" ref="G66:G74" si="20">ROUND((C66+D66+E66-F66),0)</f>
        <v>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1"/>
      <c r="S66" s="41"/>
      <c r="T66" s="42">
        <f t="shared" ref="T66:T74" si="21">ROUND(SUM(H66:S66),0)</f>
        <v>0</v>
      </c>
      <c r="U66" s="26">
        <f t="shared" si="7"/>
        <v>0</v>
      </c>
    </row>
    <row r="67" spans="1:21" ht="14.25">
      <c r="A67" s="100" t="s">
        <v>80</v>
      </c>
      <c r="B67" s="58" t="s">
        <v>81</v>
      </c>
      <c r="C67" s="272">
        <v>3900000</v>
      </c>
      <c r="D67" s="8"/>
      <c r="E67" s="9"/>
      <c r="F67" s="10"/>
      <c r="G67" s="39">
        <f t="shared" si="20"/>
        <v>3900000</v>
      </c>
      <c r="H67" s="40">
        <v>325000</v>
      </c>
      <c r="I67" s="40">
        <v>325000</v>
      </c>
      <c r="J67" s="40">
        <v>325000</v>
      </c>
      <c r="K67" s="40">
        <v>325000</v>
      </c>
      <c r="L67" s="40">
        <v>325000</v>
      </c>
      <c r="M67" s="40">
        <v>325000</v>
      </c>
      <c r="N67" s="40">
        <v>325000</v>
      </c>
      <c r="O67" s="40">
        <v>325000</v>
      </c>
      <c r="P67" s="40">
        <v>325000</v>
      </c>
      <c r="Q67" s="40">
        <v>325000</v>
      </c>
      <c r="R67" s="40">
        <v>325000</v>
      </c>
      <c r="S67" s="40">
        <v>325000</v>
      </c>
      <c r="T67" s="42">
        <f t="shared" si="21"/>
        <v>3900000</v>
      </c>
      <c r="U67" s="26">
        <f t="shared" si="7"/>
        <v>0</v>
      </c>
    </row>
    <row r="68" spans="1:21" ht="14.25">
      <c r="A68" s="100" t="s">
        <v>82</v>
      </c>
      <c r="B68" s="58" t="s">
        <v>74</v>
      </c>
      <c r="C68" s="272">
        <v>52000000</v>
      </c>
      <c r="D68" s="8"/>
      <c r="E68" s="9"/>
      <c r="F68" s="10"/>
      <c r="G68" s="39">
        <f t="shared" si="20"/>
        <v>52000000</v>
      </c>
      <c r="H68" s="40">
        <v>4333334</v>
      </c>
      <c r="I68" s="40">
        <v>4333334</v>
      </c>
      <c r="J68" s="40">
        <v>4333334</v>
      </c>
      <c r="K68" s="40">
        <v>4333334</v>
      </c>
      <c r="L68" s="40">
        <v>4333334</v>
      </c>
      <c r="M68" s="40">
        <v>4333334</v>
      </c>
      <c r="N68" s="40">
        <v>4333334</v>
      </c>
      <c r="O68" s="40">
        <v>4333334</v>
      </c>
      <c r="P68" s="40">
        <v>4333334</v>
      </c>
      <c r="Q68" s="40">
        <v>4333334</v>
      </c>
      <c r="R68" s="40">
        <v>4333334</v>
      </c>
      <c r="S68" s="40">
        <v>4333326</v>
      </c>
      <c r="T68" s="42">
        <f t="shared" si="21"/>
        <v>52000000</v>
      </c>
      <c r="U68" s="26">
        <f t="shared" si="7"/>
        <v>0</v>
      </c>
    </row>
    <row r="69" spans="1:21" ht="14.25">
      <c r="A69" s="100" t="s">
        <v>83</v>
      </c>
      <c r="B69" s="58" t="s">
        <v>84</v>
      </c>
      <c r="C69" s="272">
        <v>27000000</v>
      </c>
      <c r="D69" s="8"/>
      <c r="E69" s="9"/>
      <c r="F69" s="10"/>
      <c r="G69" s="39">
        <f t="shared" si="20"/>
        <v>27000000</v>
      </c>
      <c r="H69" s="40">
        <v>2250000</v>
      </c>
      <c r="I69" s="40">
        <v>2250000</v>
      </c>
      <c r="J69" s="40">
        <v>2250000</v>
      </c>
      <c r="K69" s="40">
        <v>2250000</v>
      </c>
      <c r="L69" s="40">
        <v>2250000</v>
      </c>
      <c r="M69" s="40">
        <v>2250000</v>
      </c>
      <c r="N69" s="40">
        <v>2250000</v>
      </c>
      <c r="O69" s="40">
        <v>2250000</v>
      </c>
      <c r="P69" s="40">
        <v>2250000</v>
      </c>
      <c r="Q69" s="40">
        <v>2250000</v>
      </c>
      <c r="R69" s="40">
        <v>2250000</v>
      </c>
      <c r="S69" s="40">
        <v>2250000</v>
      </c>
      <c r="T69" s="42">
        <f t="shared" si="21"/>
        <v>27000000</v>
      </c>
      <c r="U69" s="26">
        <f t="shared" si="7"/>
        <v>0</v>
      </c>
    </row>
    <row r="70" spans="1:21" ht="14.25">
      <c r="A70" s="100" t="s">
        <v>85</v>
      </c>
      <c r="B70" s="58" t="s">
        <v>86</v>
      </c>
      <c r="C70" s="272">
        <v>23000000</v>
      </c>
      <c r="D70" s="8"/>
      <c r="E70" s="9"/>
      <c r="F70" s="10"/>
      <c r="G70" s="39">
        <f t="shared" si="20"/>
        <v>23000000</v>
      </c>
      <c r="H70" s="40">
        <v>1916667</v>
      </c>
      <c r="I70" s="40">
        <v>1916667</v>
      </c>
      <c r="J70" s="40">
        <v>1916667</v>
      </c>
      <c r="K70" s="40">
        <v>1916667</v>
      </c>
      <c r="L70" s="40">
        <v>1916667</v>
      </c>
      <c r="M70" s="40">
        <v>1916667</v>
      </c>
      <c r="N70" s="40">
        <v>1916667</v>
      </c>
      <c r="O70" s="40">
        <v>1916667</v>
      </c>
      <c r="P70" s="40">
        <v>1916667</v>
      </c>
      <c r="Q70" s="40">
        <v>1916667</v>
      </c>
      <c r="R70" s="40">
        <v>1916667</v>
      </c>
      <c r="S70" s="40">
        <v>1916663</v>
      </c>
      <c r="T70" s="42">
        <f t="shared" si="21"/>
        <v>23000000</v>
      </c>
      <c r="U70" s="26">
        <f t="shared" si="7"/>
        <v>0</v>
      </c>
    </row>
    <row r="71" spans="1:21" ht="14.25">
      <c r="A71" s="100" t="s">
        <v>87</v>
      </c>
      <c r="B71" s="58" t="s">
        <v>88</v>
      </c>
      <c r="C71" s="272">
        <v>4000000</v>
      </c>
      <c r="D71" s="8"/>
      <c r="E71" s="9"/>
      <c r="F71" s="10"/>
      <c r="G71" s="39">
        <f t="shared" si="20"/>
        <v>4000000</v>
      </c>
      <c r="H71" s="40">
        <v>333332</v>
      </c>
      <c r="I71" s="40">
        <v>333332</v>
      </c>
      <c r="J71" s="40">
        <v>333332</v>
      </c>
      <c r="K71" s="40">
        <v>333332</v>
      </c>
      <c r="L71" s="40">
        <v>333332</v>
      </c>
      <c r="M71" s="40">
        <v>333332</v>
      </c>
      <c r="N71" s="40">
        <v>333332</v>
      </c>
      <c r="O71" s="40">
        <v>333332</v>
      </c>
      <c r="P71" s="40">
        <v>333332</v>
      </c>
      <c r="Q71" s="40">
        <v>333332</v>
      </c>
      <c r="R71" s="40">
        <v>333332</v>
      </c>
      <c r="S71" s="40">
        <v>333348</v>
      </c>
      <c r="T71" s="42">
        <f t="shared" si="21"/>
        <v>4000000</v>
      </c>
      <c r="U71" s="26">
        <f t="shared" si="7"/>
        <v>0</v>
      </c>
    </row>
    <row r="72" spans="1:21" ht="14.25">
      <c r="A72" s="100" t="s">
        <v>89</v>
      </c>
      <c r="B72" s="58" t="s">
        <v>90</v>
      </c>
      <c r="C72" s="272">
        <v>4000000</v>
      </c>
      <c r="D72" s="8"/>
      <c r="E72" s="9"/>
      <c r="F72" s="10"/>
      <c r="G72" s="39">
        <f t="shared" si="20"/>
        <v>4000000</v>
      </c>
      <c r="H72" s="40">
        <v>333332</v>
      </c>
      <c r="I72" s="40">
        <v>333332</v>
      </c>
      <c r="J72" s="40">
        <v>333332</v>
      </c>
      <c r="K72" s="40">
        <v>333332</v>
      </c>
      <c r="L72" s="40">
        <v>333332</v>
      </c>
      <c r="M72" s="40">
        <v>333332</v>
      </c>
      <c r="N72" s="40">
        <v>333332</v>
      </c>
      <c r="O72" s="40">
        <v>333332</v>
      </c>
      <c r="P72" s="40">
        <v>333332</v>
      </c>
      <c r="Q72" s="40">
        <v>333332</v>
      </c>
      <c r="R72" s="40">
        <v>333332</v>
      </c>
      <c r="S72" s="40">
        <v>333348</v>
      </c>
      <c r="T72" s="42">
        <f t="shared" si="21"/>
        <v>4000000</v>
      </c>
      <c r="U72" s="26">
        <f t="shared" si="7"/>
        <v>0</v>
      </c>
    </row>
    <row r="73" spans="1:21" ht="14.25">
      <c r="A73" s="100" t="s">
        <v>91</v>
      </c>
      <c r="B73" s="58" t="s">
        <v>92</v>
      </c>
      <c r="C73" s="272">
        <v>7200000</v>
      </c>
      <c r="D73" s="8"/>
      <c r="E73" s="9"/>
      <c r="F73" s="10"/>
      <c r="G73" s="39">
        <f t="shared" si="20"/>
        <v>7200000</v>
      </c>
      <c r="H73" s="40">
        <v>600000</v>
      </c>
      <c r="I73" s="40">
        <v>600000</v>
      </c>
      <c r="J73" s="40">
        <v>600000</v>
      </c>
      <c r="K73" s="40">
        <v>600000</v>
      </c>
      <c r="L73" s="40">
        <v>600000</v>
      </c>
      <c r="M73" s="40">
        <v>600000</v>
      </c>
      <c r="N73" s="40">
        <v>600000</v>
      </c>
      <c r="O73" s="40">
        <v>600000</v>
      </c>
      <c r="P73" s="40">
        <v>600000</v>
      </c>
      <c r="Q73" s="40">
        <v>600000</v>
      </c>
      <c r="R73" s="40">
        <v>600000</v>
      </c>
      <c r="S73" s="40">
        <v>600000</v>
      </c>
      <c r="T73" s="42">
        <f t="shared" si="21"/>
        <v>7200000</v>
      </c>
      <c r="U73" s="26">
        <f t="shared" si="7"/>
        <v>0</v>
      </c>
    </row>
    <row r="74" spans="1:21" ht="14.25">
      <c r="A74" s="100" t="s">
        <v>93</v>
      </c>
      <c r="B74" s="58" t="s">
        <v>94</v>
      </c>
      <c r="C74" s="272">
        <v>0</v>
      </c>
      <c r="D74" s="8">
        <v>0</v>
      </c>
      <c r="E74" s="9">
        <v>0</v>
      </c>
      <c r="F74" s="10">
        <v>0</v>
      </c>
      <c r="G74" s="39">
        <f t="shared" si="20"/>
        <v>0</v>
      </c>
      <c r="H74" s="40"/>
      <c r="I74" s="40"/>
      <c r="J74" s="40">
        <v>0</v>
      </c>
      <c r="K74" s="40">
        <v>0</v>
      </c>
      <c r="L74" s="40">
        <v>0</v>
      </c>
      <c r="M74" s="40">
        <v>0</v>
      </c>
      <c r="N74" s="40"/>
      <c r="O74" s="40">
        <v>0</v>
      </c>
      <c r="P74" s="40">
        <v>0</v>
      </c>
      <c r="Q74" s="41">
        <f>ROUND($G$74/12,-1)</f>
        <v>0</v>
      </c>
      <c r="R74" s="41">
        <f>ROUND($G$74/12,-1)</f>
        <v>0</v>
      </c>
      <c r="S74" s="41">
        <f>G74-SUM(H74:R74)</f>
        <v>0</v>
      </c>
      <c r="T74" s="42">
        <f t="shared" si="21"/>
        <v>0</v>
      </c>
      <c r="U74" s="26">
        <f t="shared" si="7"/>
        <v>0</v>
      </c>
    </row>
    <row r="75" spans="1:21">
      <c r="A75" s="114">
        <v>20201301</v>
      </c>
      <c r="B75" s="101" t="s">
        <v>95</v>
      </c>
      <c r="C75" s="103">
        <f t="shared" ref="C75:T75" si="22">C76</f>
        <v>75000000</v>
      </c>
      <c r="D75" s="104">
        <f t="shared" si="22"/>
        <v>0</v>
      </c>
      <c r="E75" s="104">
        <f t="shared" si="22"/>
        <v>0</v>
      </c>
      <c r="F75" s="104">
        <f t="shared" si="22"/>
        <v>0</v>
      </c>
      <c r="G75" s="104">
        <f t="shared" si="22"/>
        <v>75000000</v>
      </c>
      <c r="H75" s="101">
        <f t="shared" si="22"/>
        <v>62534000</v>
      </c>
      <c r="I75" s="101">
        <f t="shared" si="22"/>
        <v>0</v>
      </c>
      <c r="J75" s="101">
        <f t="shared" si="22"/>
        <v>12466000</v>
      </c>
      <c r="K75" s="101">
        <f t="shared" si="22"/>
        <v>0</v>
      </c>
      <c r="L75" s="101">
        <f t="shared" si="22"/>
        <v>0</v>
      </c>
      <c r="M75" s="101">
        <f t="shared" si="22"/>
        <v>0</v>
      </c>
      <c r="N75" s="101">
        <f t="shared" si="22"/>
        <v>0</v>
      </c>
      <c r="O75" s="101">
        <f t="shared" si="22"/>
        <v>0</v>
      </c>
      <c r="P75" s="101">
        <f t="shared" si="22"/>
        <v>0</v>
      </c>
      <c r="Q75" s="101">
        <f t="shared" si="22"/>
        <v>0</v>
      </c>
      <c r="R75" s="101">
        <f t="shared" si="22"/>
        <v>0</v>
      </c>
      <c r="S75" s="101">
        <f t="shared" si="22"/>
        <v>0</v>
      </c>
      <c r="T75" s="101">
        <f t="shared" si="22"/>
        <v>75000000</v>
      </c>
      <c r="U75" s="26">
        <f t="shared" si="7"/>
        <v>0</v>
      </c>
    </row>
    <row r="76" spans="1:21" ht="15" thickBot="1">
      <c r="A76" s="105">
        <v>2020130101</v>
      </c>
      <c r="B76" s="60" t="s">
        <v>142</v>
      </c>
      <c r="C76" s="285">
        <v>75000000</v>
      </c>
      <c r="D76" s="255"/>
      <c r="E76" s="256"/>
      <c r="F76" s="257"/>
      <c r="G76" s="107">
        <f t="shared" si="17"/>
        <v>75000000</v>
      </c>
      <c r="H76" s="108">
        <v>62534000</v>
      </c>
      <c r="I76" s="108">
        <v>0</v>
      </c>
      <c r="J76" s="108">
        <v>12466000</v>
      </c>
      <c r="K76" s="108">
        <v>0</v>
      </c>
      <c r="L76" s="108">
        <v>0</v>
      </c>
      <c r="M76" s="108">
        <v>0</v>
      </c>
      <c r="N76" s="108"/>
      <c r="O76" s="108">
        <v>0</v>
      </c>
      <c r="P76" s="108"/>
      <c r="Q76" s="108"/>
      <c r="R76" s="108"/>
      <c r="S76" s="108"/>
      <c r="T76" s="42">
        <f>ROUND(SUM(H76:S76),0)</f>
        <v>75000000</v>
      </c>
      <c r="U76" s="26">
        <f t="shared" si="7"/>
        <v>0</v>
      </c>
    </row>
    <row r="77" spans="1:21">
      <c r="A77" s="101"/>
      <c r="B77" s="101" t="s">
        <v>136</v>
      </c>
      <c r="C77" s="104">
        <f>C64+C59+C42+C37+C32+C23+C75</f>
        <v>1155126065</v>
      </c>
      <c r="D77" s="104">
        <f>D64+D59+D42+D37+D32+D23+D75</f>
        <v>0</v>
      </c>
      <c r="E77" s="104">
        <f>E64+E59+E42+E37+E32+E23+E75</f>
        <v>0</v>
      </c>
      <c r="F77" s="104">
        <f>F64+F59+F42+F37+F32+F23+F75</f>
        <v>0</v>
      </c>
      <c r="G77" s="104">
        <f>G64+G59+G42+G37+G32+G23+G75</f>
        <v>1155126065</v>
      </c>
      <c r="H77" s="104">
        <f t="shared" ref="H77:O77" si="23">H64+H59+H42+H37+H32+H23</f>
        <v>104994166</v>
      </c>
      <c r="I77" s="104">
        <f t="shared" si="23"/>
        <v>75194166</v>
      </c>
      <c r="J77" s="104">
        <f t="shared" si="23"/>
        <v>82694166</v>
      </c>
      <c r="K77" s="104">
        <f t="shared" si="23"/>
        <v>63411166</v>
      </c>
      <c r="L77" s="104">
        <f t="shared" si="23"/>
        <v>63611266</v>
      </c>
      <c r="M77" s="104">
        <f t="shared" si="23"/>
        <v>90289468</v>
      </c>
      <c r="N77" s="104">
        <f t="shared" si="23"/>
        <v>91610832</v>
      </c>
      <c r="O77" s="104">
        <f t="shared" si="23"/>
        <v>67960832</v>
      </c>
      <c r="P77" s="104">
        <f>P64+P59+P42+P37+P32+P23+P75</f>
        <v>63459166</v>
      </c>
      <c r="Q77" s="104">
        <f>Q64+Q59+Q42+Q37+Q32+Q23</f>
        <v>78094166</v>
      </c>
      <c r="R77" s="104">
        <f>R64+R59+R42+R37+R32+R23</f>
        <v>75594166</v>
      </c>
      <c r="S77" s="104">
        <f>S23+S32+S37+S42+S59+S64+S75</f>
        <v>222962503</v>
      </c>
      <c r="T77" s="104">
        <f>T75+T64+T59+T42+T37+T32+T23</f>
        <v>1155126065</v>
      </c>
      <c r="U77" s="26">
        <f t="shared" si="7"/>
        <v>0</v>
      </c>
    </row>
    <row r="78" spans="1:21">
      <c r="B78" s="16"/>
      <c r="C78" s="17"/>
      <c r="D78" s="18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9"/>
    </row>
    <row r="79" spans="1:21">
      <c r="B79" s="16"/>
      <c r="C79" s="17"/>
      <c r="D79" s="1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9"/>
    </row>
    <row r="80" spans="1:21">
      <c r="B80" s="16"/>
      <c r="C80" s="12"/>
      <c r="D80" s="16"/>
      <c r="E80" s="12"/>
      <c r="G80" s="28" t="s">
        <v>139</v>
      </c>
      <c r="H80" s="12"/>
      <c r="I80" s="12"/>
      <c r="J80" s="12"/>
      <c r="K80" s="12"/>
      <c r="L80" s="12"/>
      <c r="M80" s="12"/>
      <c r="N80" s="12"/>
      <c r="O80" s="12"/>
      <c r="P80" s="28" t="s">
        <v>137</v>
      </c>
      <c r="Q80" s="12"/>
      <c r="R80" s="12"/>
      <c r="S80" s="12"/>
      <c r="T80" s="47"/>
    </row>
    <row r="81" spans="2:20">
      <c r="B81" s="16"/>
      <c r="C81" s="106"/>
      <c r="D81" s="16"/>
      <c r="E81" s="12"/>
      <c r="G81" s="48" t="s">
        <v>141</v>
      </c>
      <c r="H81" s="12"/>
      <c r="I81" s="12"/>
      <c r="J81" s="12"/>
      <c r="K81" s="12"/>
      <c r="L81" s="12"/>
      <c r="M81" s="12"/>
      <c r="N81" s="12"/>
      <c r="O81" s="12"/>
      <c r="P81" s="12" t="s">
        <v>138</v>
      </c>
      <c r="Q81" s="28"/>
      <c r="R81" s="12"/>
      <c r="S81" s="12"/>
      <c r="T81" s="47"/>
    </row>
    <row r="82" spans="2:20" ht="13.5" thickBot="1">
      <c r="B82" s="29"/>
      <c r="C82" s="49"/>
      <c r="D82" s="29" t="s">
        <v>256</v>
      </c>
      <c r="E82" s="49"/>
      <c r="F82" s="50"/>
      <c r="G82" s="50"/>
      <c r="H82" s="49"/>
      <c r="I82" s="49"/>
      <c r="J82" s="49"/>
      <c r="K82" s="49"/>
      <c r="L82" s="49"/>
      <c r="M82" s="49"/>
      <c r="N82" s="49"/>
      <c r="O82" s="49"/>
      <c r="P82" s="51"/>
      <c r="Q82" s="49"/>
      <c r="R82" s="49"/>
      <c r="S82" s="49"/>
      <c r="T82" s="52"/>
    </row>
    <row r="86" spans="2:20">
      <c r="G86" s="26"/>
    </row>
    <row r="88" spans="2:20">
      <c r="G88" s="26"/>
    </row>
    <row r="91" spans="2:20">
      <c r="G91" s="2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topLeftCell="A26" zoomScale="70" zoomScaleNormal="70" zoomScaleSheetLayoutView="30" workbookViewId="0">
      <selection activeCell="J228" sqref="J228"/>
    </sheetView>
  </sheetViews>
  <sheetFormatPr baseColWidth="10" defaultRowHeight="12.75"/>
  <cols>
    <col min="1" max="1" width="12.625" style="110" customWidth="1"/>
    <col min="2" max="2" width="37" style="13" customWidth="1"/>
    <col min="3" max="3" width="15.25" style="13" customWidth="1"/>
    <col min="4" max="5" width="13" style="13" bestFit="1" customWidth="1"/>
    <col min="6" max="6" width="16" style="13" bestFit="1" customWidth="1"/>
    <col min="7" max="7" width="18" style="13" customWidth="1"/>
    <col min="8" max="8" width="15.25" style="13" customWidth="1"/>
    <col min="9" max="9" width="15.625" style="13" customWidth="1"/>
    <col min="10" max="10" width="15.625" style="13" bestFit="1" customWidth="1"/>
    <col min="11" max="19" width="14.625" style="13" customWidth="1"/>
    <col min="20" max="20" width="15.875" style="13" bestFit="1" customWidth="1"/>
    <col min="21" max="21" width="12.5" style="608" bestFit="1" customWidth="1"/>
    <col min="22" max="257" width="11" style="13"/>
    <col min="258" max="258" width="51" style="13" customWidth="1"/>
    <col min="259" max="259" width="19" style="13" customWidth="1"/>
    <col min="260" max="260" width="15.375" style="13" customWidth="1"/>
    <col min="261" max="261" width="14.5" style="13" customWidth="1"/>
    <col min="262" max="262" width="19.75" style="13" customWidth="1"/>
    <col min="263" max="263" width="20.5" style="13" customWidth="1"/>
    <col min="264" max="264" width="15.25" style="13" customWidth="1"/>
    <col min="265" max="265" width="15.625" style="13" customWidth="1"/>
    <col min="266" max="266" width="15.625" style="13" bestFit="1" customWidth="1"/>
    <col min="267" max="267" width="14.875" style="13" customWidth="1"/>
    <col min="268" max="268" width="15.625" style="13" bestFit="1" customWidth="1"/>
    <col min="269" max="269" width="15" style="13" customWidth="1"/>
    <col min="270" max="270" width="15.625" style="13" bestFit="1" customWidth="1"/>
    <col min="271" max="271" width="15.875" style="13" customWidth="1"/>
    <col min="272" max="272" width="16.25" style="13" customWidth="1"/>
    <col min="273" max="273" width="16.75" style="13" customWidth="1"/>
    <col min="274" max="274" width="14.875" style="13" customWidth="1"/>
    <col min="275" max="275" width="19.625" style="13" bestFit="1" customWidth="1"/>
    <col min="276" max="276" width="21.875" style="13" customWidth="1"/>
    <col min="277" max="513" width="11" style="13"/>
    <col min="514" max="514" width="51" style="13" customWidth="1"/>
    <col min="515" max="515" width="19" style="13" customWidth="1"/>
    <col min="516" max="516" width="15.375" style="13" customWidth="1"/>
    <col min="517" max="517" width="14.5" style="13" customWidth="1"/>
    <col min="518" max="518" width="19.75" style="13" customWidth="1"/>
    <col min="519" max="519" width="20.5" style="13" customWidth="1"/>
    <col min="520" max="520" width="15.25" style="13" customWidth="1"/>
    <col min="521" max="521" width="15.625" style="13" customWidth="1"/>
    <col min="522" max="522" width="15.625" style="13" bestFit="1" customWidth="1"/>
    <col min="523" max="523" width="14.875" style="13" customWidth="1"/>
    <col min="524" max="524" width="15.625" style="13" bestFit="1" customWidth="1"/>
    <col min="525" max="525" width="15" style="13" customWidth="1"/>
    <col min="526" max="526" width="15.625" style="13" bestFit="1" customWidth="1"/>
    <col min="527" max="527" width="15.875" style="13" customWidth="1"/>
    <col min="528" max="528" width="16.25" style="13" customWidth="1"/>
    <col min="529" max="529" width="16.75" style="13" customWidth="1"/>
    <col min="530" max="530" width="14.875" style="13" customWidth="1"/>
    <col min="531" max="531" width="19.625" style="13" bestFit="1" customWidth="1"/>
    <col min="532" max="532" width="21.875" style="13" customWidth="1"/>
    <col min="533" max="769" width="11" style="13"/>
    <col min="770" max="770" width="51" style="13" customWidth="1"/>
    <col min="771" max="771" width="19" style="13" customWidth="1"/>
    <col min="772" max="772" width="15.375" style="13" customWidth="1"/>
    <col min="773" max="773" width="14.5" style="13" customWidth="1"/>
    <col min="774" max="774" width="19.75" style="13" customWidth="1"/>
    <col min="775" max="775" width="20.5" style="13" customWidth="1"/>
    <col min="776" max="776" width="15.25" style="13" customWidth="1"/>
    <col min="777" max="777" width="15.625" style="13" customWidth="1"/>
    <col min="778" max="778" width="15.625" style="13" bestFit="1" customWidth="1"/>
    <col min="779" max="779" width="14.875" style="13" customWidth="1"/>
    <col min="780" max="780" width="15.625" style="13" bestFit="1" customWidth="1"/>
    <col min="781" max="781" width="15" style="13" customWidth="1"/>
    <col min="782" max="782" width="15.625" style="13" bestFit="1" customWidth="1"/>
    <col min="783" max="783" width="15.875" style="13" customWidth="1"/>
    <col min="784" max="784" width="16.25" style="13" customWidth="1"/>
    <col min="785" max="785" width="16.75" style="13" customWidth="1"/>
    <col min="786" max="786" width="14.875" style="13" customWidth="1"/>
    <col min="787" max="787" width="19.625" style="13" bestFit="1" customWidth="1"/>
    <col min="788" max="788" width="21.875" style="13" customWidth="1"/>
    <col min="789" max="1025" width="11" style="13"/>
    <col min="1026" max="1026" width="51" style="13" customWidth="1"/>
    <col min="1027" max="1027" width="19" style="13" customWidth="1"/>
    <col min="1028" max="1028" width="15.375" style="13" customWidth="1"/>
    <col min="1029" max="1029" width="14.5" style="13" customWidth="1"/>
    <col min="1030" max="1030" width="19.75" style="13" customWidth="1"/>
    <col min="1031" max="1031" width="20.5" style="13" customWidth="1"/>
    <col min="1032" max="1032" width="15.25" style="13" customWidth="1"/>
    <col min="1033" max="1033" width="15.625" style="13" customWidth="1"/>
    <col min="1034" max="1034" width="15.625" style="13" bestFit="1" customWidth="1"/>
    <col min="1035" max="1035" width="14.875" style="13" customWidth="1"/>
    <col min="1036" max="1036" width="15.625" style="13" bestFit="1" customWidth="1"/>
    <col min="1037" max="1037" width="15" style="13" customWidth="1"/>
    <col min="1038" max="1038" width="15.625" style="13" bestFit="1" customWidth="1"/>
    <col min="1039" max="1039" width="15.875" style="13" customWidth="1"/>
    <col min="1040" max="1040" width="16.25" style="13" customWidth="1"/>
    <col min="1041" max="1041" width="16.75" style="13" customWidth="1"/>
    <col min="1042" max="1042" width="14.875" style="13" customWidth="1"/>
    <col min="1043" max="1043" width="19.625" style="13" bestFit="1" customWidth="1"/>
    <col min="1044" max="1044" width="21.875" style="13" customWidth="1"/>
    <col min="1045" max="1281" width="11" style="13"/>
    <col min="1282" max="1282" width="51" style="13" customWidth="1"/>
    <col min="1283" max="1283" width="19" style="13" customWidth="1"/>
    <col min="1284" max="1284" width="15.375" style="13" customWidth="1"/>
    <col min="1285" max="1285" width="14.5" style="13" customWidth="1"/>
    <col min="1286" max="1286" width="19.75" style="13" customWidth="1"/>
    <col min="1287" max="1287" width="20.5" style="13" customWidth="1"/>
    <col min="1288" max="1288" width="15.25" style="13" customWidth="1"/>
    <col min="1289" max="1289" width="15.625" style="13" customWidth="1"/>
    <col min="1290" max="1290" width="15.625" style="13" bestFit="1" customWidth="1"/>
    <col min="1291" max="1291" width="14.875" style="13" customWidth="1"/>
    <col min="1292" max="1292" width="15.625" style="13" bestFit="1" customWidth="1"/>
    <col min="1293" max="1293" width="15" style="13" customWidth="1"/>
    <col min="1294" max="1294" width="15.625" style="13" bestFit="1" customWidth="1"/>
    <col min="1295" max="1295" width="15.875" style="13" customWidth="1"/>
    <col min="1296" max="1296" width="16.25" style="13" customWidth="1"/>
    <col min="1297" max="1297" width="16.75" style="13" customWidth="1"/>
    <col min="1298" max="1298" width="14.875" style="13" customWidth="1"/>
    <col min="1299" max="1299" width="19.625" style="13" bestFit="1" customWidth="1"/>
    <col min="1300" max="1300" width="21.875" style="13" customWidth="1"/>
    <col min="1301" max="1537" width="11" style="13"/>
    <col min="1538" max="1538" width="51" style="13" customWidth="1"/>
    <col min="1539" max="1539" width="19" style="13" customWidth="1"/>
    <col min="1540" max="1540" width="15.375" style="13" customWidth="1"/>
    <col min="1541" max="1541" width="14.5" style="13" customWidth="1"/>
    <col min="1542" max="1542" width="19.75" style="13" customWidth="1"/>
    <col min="1543" max="1543" width="20.5" style="13" customWidth="1"/>
    <col min="1544" max="1544" width="15.25" style="13" customWidth="1"/>
    <col min="1545" max="1545" width="15.625" style="13" customWidth="1"/>
    <col min="1546" max="1546" width="15.625" style="13" bestFit="1" customWidth="1"/>
    <col min="1547" max="1547" width="14.875" style="13" customWidth="1"/>
    <col min="1548" max="1548" width="15.625" style="13" bestFit="1" customWidth="1"/>
    <col min="1549" max="1549" width="15" style="13" customWidth="1"/>
    <col min="1550" max="1550" width="15.625" style="13" bestFit="1" customWidth="1"/>
    <col min="1551" max="1551" width="15.875" style="13" customWidth="1"/>
    <col min="1552" max="1552" width="16.25" style="13" customWidth="1"/>
    <col min="1553" max="1553" width="16.75" style="13" customWidth="1"/>
    <col min="1554" max="1554" width="14.875" style="13" customWidth="1"/>
    <col min="1555" max="1555" width="19.625" style="13" bestFit="1" customWidth="1"/>
    <col min="1556" max="1556" width="21.875" style="13" customWidth="1"/>
    <col min="1557" max="1793" width="11" style="13"/>
    <col min="1794" max="1794" width="51" style="13" customWidth="1"/>
    <col min="1795" max="1795" width="19" style="13" customWidth="1"/>
    <col min="1796" max="1796" width="15.375" style="13" customWidth="1"/>
    <col min="1797" max="1797" width="14.5" style="13" customWidth="1"/>
    <col min="1798" max="1798" width="19.75" style="13" customWidth="1"/>
    <col min="1799" max="1799" width="20.5" style="13" customWidth="1"/>
    <col min="1800" max="1800" width="15.25" style="13" customWidth="1"/>
    <col min="1801" max="1801" width="15.625" style="13" customWidth="1"/>
    <col min="1802" max="1802" width="15.625" style="13" bestFit="1" customWidth="1"/>
    <col min="1803" max="1803" width="14.875" style="13" customWidth="1"/>
    <col min="1804" max="1804" width="15.625" style="13" bestFit="1" customWidth="1"/>
    <col min="1805" max="1805" width="15" style="13" customWidth="1"/>
    <col min="1806" max="1806" width="15.625" style="13" bestFit="1" customWidth="1"/>
    <col min="1807" max="1807" width="15.875" style="13" customWidth="1"/>
    <col min="1808" max="1808" width="16.25" style="13" customWidth="1"/>
    <col min="1809" max="1809" width="16.75" style="13" customWidth="1"/>
    <col min="1810" max="1810" width="14.875" style="13" customWidth="1"/>
    <col min="1811" max="1811" width="19.625" style="13" bestFit="1" customWidth="1"/>
    <col min="1812" max="1812" width="21.875" style="13" customWidth="1"/>
    <col min="1813" max="2049" width="11" style="13"/>
    <col min="2050" max="2050" width="51" style="13" customWidth="1"/>
    <col min="2051" max="2051" width="19" style="13" customWidth="1"/>
    <col min="2052" max="2052" width="15.375" style="13" customWidth="1"/>
    <col min="2053" max="2053" width="14.5" style="13" customWidth="1"/>
    <col min="2054" max="2054" width="19.75" style="13" customWidth="1"/>
    <col min="2055" max="2055" width="20.5" style="13" customWidth="1"/>
    <col min="2056" max="2056" width="15.25" style="13" customWidth="1"/>
    <col min="2057" max="2057" width="15.625" style="13" customWidth="1"/>
    <col min="2058" max="2058" width="15.625" style="13" bestFit="1" customWidth="1"/>
    <col min="2059" max="2059" width="14.875" style="13" customWidth="1"/>
    <col min="2060" max="2060" width="15.625" style="13" bestFit="1" customWidth="1"/>
    <col min="2061" max="2061" width="15" style="13" customWidth="1"/>
    <col min="2062" max="2062" width="15.625" style="13" bestFit="1" customWidth="1"/>
    <col min="2063" max="2063" width="15.875" style="13" customWidth="1"/>
    <col min="2064" max="2064" width="16.25" style="13" customWidth="1"/>
    <col min="2065" max="2065" width="16.75" style="13" customWidth="1"/>
    <col min="2066" max="2066" width="14.875" style="13" customWidth="1"/>
    <col min="2067" max="2067" width="19.625" style="13" bestFit="1" customWidth="1"/>
    <col min="2068" max="2068" width="21.875" style="13" customWidth="1"/>
    <col min="2069" max="2305" width="11" style="13"/>
    <col min="2306" max="2306" width="51" style="13" customWidth="1"/>
    <col min="2307" max="2307" width="19" style="13" customWidth="1"/>
    <col min="2308" max="2308" width="15.375" style="13" customWidth="1"/>
    <col min="2309" max="2309" width="14.5" style="13" customWidth="1"/>
    <col min="2310" max="2310" width="19.75" style="13" customWidth="1"/>
    <col min="2311" max="2311" width="20.5" style="13" customWidth="1"/>
    <col min="2312" max="2312" width="15.25" style="13" customWidth="1"/>
    <col min="2313" max="2313" width="15.625" style="13" customWidth="1"/>
    <col min="2314" max="2314" width="15.625" style="13" bestFit="1" customWidth="1"/>
    <col min="2315" max="2315" width="14.875" style="13" customWidth="1"/>
    <col min="2316" max="2316" width="15.625" style="13" bestFit="1" customWidth="1"/>
    <col min="2317" max="2317" width="15" style="13" customWidth="1"/>
    <col min="2318" max="2318" width="15.625" style="13" bestFit="1" customWidth="1"/>
    <col min="2319" max="2319" width="15.875" style="13" customWidth="1"/>
    <col min="2320" max="2320" width="16.25" style="13" customWidth="1"/>
    <col min="2321" max="2321" width="16.75" style="13" customWidth="1"/>
    <col min="2322" max="2322" width="14.875" style="13" customWidth="1"/>
    <col min="2323" max="2323" width="19.625" style="13" bestFit="1" customWidth="1"/>
    <col min="2324" max="2324" width="21.875" style="13" customWidth="1"/>
    <col min="2325" max="2561" width="11" style="13"/>
    <col min="2562" max="2562" width="51" style="13" customWidth="1"/>
    <col min="2563" max="2563" width="19" style="13" customWidth="1"/>
    <col min="2564" max="2564" width="15.375" style="13" customWidth="1"/>
    <col min="2565" max="2565" width="14.5" style="13" customWidth="1"/>
    <col min="2566" max="2566" width="19.75" style="13" customWidth="1"/>
    <col min="2567" max="2567" width="20.5" style="13" customWidth="1"/>
    <col min="2568" max="2568" width="15.25" style="13" customWidth="1"/>
    <col min="2569" max="2569" width="15.625" style="13" customWidth="1"/>
    <col min="2570" max="2570" width="15.625" style="13" bestFit="1" customWidth="1"/>
    <col min="2571" max="2571" width="14.875" style="13" customWidth="1"/>
    <col min="2572" max="2572" width="15.625" style="13" bestFit="1" customWidth="1"/>
    <col min="2573" max="2573" width="15" style="13" customWidth="1"/>
    <col min="2574" max="2574" width="15.625" style="13" bestFit="1" customWidth="1"/>
    <col min="2575" max="2575" width="15.875" style="13" customWidth="1"/>
    <col min="2576" max="2576" width="16.25" style="13" customWidth="1"/>
    <col min="2577" max="2577" width="16.75" style="13" customWidth="1"/>
    <col min="2578" max="2578" width="14.875" style="13" customWidth="1"/>
    <col min="2579" max="2579" width="19.625" style="13" bestFit="1" customWidth="1"/>
    <col min="2580" max="2580" width="21.875" style="13" customWidth="1"/>
    <col min="2581" max="2817" width="11" style="13"/>
    <col min="2818" max="2818" width="51" style="13" customWidth="1"/>
    <col min="2819" max="2819" width="19" style="13" customWidth="1"/>
    <col min="2820" max="2820" width="15.375" style="13" customWidth="1"/>
    <col min="2821" max="2821" width="14.5" style="13" customWidth="1"/>
    <col min="2822" max="2822" width="19.75" style="13" customWidth="1"/>
    <col min="2823" max="2823" width="20.5" style="13" customWidth="1"/>
    <col min="2824" max="2824" width="15.25" style="13" customWidth="1"/>
    <col min="2825" max="2825" width="15.625" style="13" customWidth="1"/>
    <col min="2826" max="2826" width="15.625" style="13" bestFit="1" customWidth="1"/>
    <col min="2827" max="2827" width="14.875" style="13" customWidth="1"/>
    <col min="2828" max="2828" width="15.625" style="13" bestFit="1" customWidth="1"/>
    <col min="2829" max="2829" width="15" style="13" customWidth="1"/>
    <col min="2830" max="2830" width="15.625" style="13" bestFit="1" customWidth="1"/>
    <col min="2831" max="2831" width="15.875" style="13" customWidth="1"/>
    <col min="2832" max="2832" width="16.25" style="13" customWidth="1"/>
    <col min="2833" max="2833" width="16.75" style="13" customWidth="1"/>
    <col min="2834" max="2834" width="14.875" style="13" customWidth="1"/>
    <col min="2835" max="2835" width="19.625" style="13" bestFit="1" customWidth="1"/>
    <col min="2836" max="2836" width="21.875" style="13" customWidth="1"/>
    <col min="2837" max="3073" width="11" style="13"/>
    <col min="3074" max="3074" width="51" style="13" customWidth="1"/>
    <col min="3075" max="3075" width="19" style="13" customWidth="1"/>
    <col min="3076" max="3076" width="15.375" style="13" customWidth="1"/>
    <col min="3077" max="3077" width="14.5" style="13" customWidth="1"/>
    <col min="3078" max="3078" width="19.75" style="13" customWidth="1"/>
    <col min="3079" max="3079" width="20.5" style="13" customWidth="1"/>
    <col min="3080" max="3080" width="15.25" style="13" customWidth="1"/>
    <col min="3081" max="3081" width="15.625" style="13" customWidth="1"/>
    <col min="3082" max="3082" width="15.625" style="13" bestFit="1" customWidth="1"/>
    <col min="3083" max="3083" width="14.875" style="13" customWidth="1"/>
    <col min="3084" max="3084" width="15.625" style="13" bestFit="1" customWidth="1"/>
    <col min="3085" max="3085" width="15" style="13" customWidth="1"/>
    <col min="3086" max="3086" width="15.625" style="13" bestFit="1" customWidth="1"/>
    <col min="3087" max="3087" width="15.875" style="13" customWidth="1"/>
    <col min="3088" max="3088" width="16.25" style="13" customWidth="1"/>
    <col min="3089" max="3089" width="16.75" style="13" customWidth="1"/>
    <col min="3090" max="3090" width="14.875" style="13" customWidth="1"/>
    <col min="3091" max="3091" width="19.625" style="13" bestFit="1" customWidth="1"/>
    <col min="3092" max="3092" width="21.875" style="13" customWidth="1"/>
    <col min="3093" max="3329" width="11" style="13"/>
    <col min="3330" max="3330" width="51" style="13" customWidth="1"/>
    <col min="3331" max="3331" width="19" style="13" customWidth="1"/>
    <col min="3332" max="3332" width="15.375" style="13" customWidth="1"/>
    <col min="3333" max="3333" width="14.5" style="13" customWidth="1"/>
    <col min="3334" max="3334" width="19.75" style="13" customWidth="1"/>
    <col min="3335" max="3335" width="20.5" style="13" customWidth="1"/>
    <col min="3336" max="3336" width="15.25" style="13" customWidth="1"/>
    <col min="3337" max="3337" width="15.625" style="13" customWidth="1"/>
    <col min="3338" max="3338" width="15.625" style="13" bestFit="1" customWidth="1"/>
    <col min="3339" max="3339" width="14.875" style="13" customWidth="1"/>
    <col min="3340" max="3340" width="15.625" style="13" bestFit="1" customWidth="1"/>
    <col min="3341" max="3341" width="15" style="13" customWidth="1"/>
    <col min="3342" max="3342" width="15.625" style="13" bestFit="1" customWidth="1"/>
    <col min="3343" max="3343" width="15.875" style="13" customWidth="1"/>
    <col min="3344" max="3344" width="16.25" style="13" customWidth="1"/>
    <col min="3345" max="3345" width="16.75" style="13" customWidth="1"/>
    <col min="3346" max="3346" width="14.875" style="13" customWidth="1"/>
    <col min="3347" max="3347" width="19.625" style="13" bestFit="1" customWidth="1"/>
    <col min="3348" max="3348" width="21.875" style="13" customWidth="1"/>
    <col min="3349" max="3585" width="11" style="13"/>
    <col min="3586" max="3586" width="51" style="13" customWidth="1"/>
    <col min="3587" max="3587" width="19" style="13" customWidth="1"/>
    <col min="3588" max="3588" width="15.375" style="13" customWidth="1"/>
    <col min="3589" max="3589" width="14.5" style="13" customWidth="1"/>
    <col min="3590" max="3590" width="19.75" style="13" customWidth="1"/>
    <col min="3591" max="3591" width="20.5" style="13" customWidth="1"/>
    <col min="3592" max="3592" width="15.25" style="13" customWidth="1"/>
    <col min="3593" max="3593" width="15.625" style="13" customWidth="1"/>
    <col min="3594" max="3594" width="15.625" style="13" bestFit="1" customWidth="1"/>
    <col min="3595" max="3595" width="14.875" style="13" customWidth="1"/>
    <col min="3596" max="3596" width="15.625" style="13" bestFit="1" customWidth="1"/>
    <col min="3597" max="3597" width="15" style="13" customWidth="1"/>
    <col min="3598" max="3598" width="15.625" style="13" bestFit="1" customWidth="1"/>
    <col min="3599" max="3599" width="15.875" style="13" customWidth="1"/>
    <col min="3600" max="3600" width="16.25" style="13" customWidth="1"/>
    <col min="3601" max="3601" width="16.75" style="13" customWidth="1"/>
    <col min="3602" max="3602" width="14.875" style="13" customWidth="1"/>
    <col min="3603" max="3603" width="19.625" style="13" bestFit="1" customWidth="1"/>
    <col min="3604" max="3604" width="21.875" style="13" customWidth="1"/>
    <col min="3605" max="3841" width="11" style="13"/>
    <col min="3842" max="3842" width="51" style="13" customWidth="1"/>
    <col min="3843" max="3843" width="19" style="13" customWidth="1"/>
    <col min="3844" max="3844" width="15.375" style="13" customWidth="1"/>
    <col min="3845" max="3845" width="14.5" style="13" customWidth="1"/>
    <col min="3846" max="3846" width="19.75" style="13" customWidth="1"/>
    <col min="3847" max="3847" width="20.5" style="13" customWidth="1"/>
    <col min="3848" max="3848" width="15.25" style="13" customWidth="1"/>
    <col min="3849" max="3849" width="15.625" style="13" customWidth="1"/>
    <col min="3850" max="3850" width="15.625" style="13" bestFit="1" customWidth="1"/>
    <col min="3851" max="3851" width="14.875" style="13" customWidth="1"/>
    <col min="3852" max="3852" width="15.625" style="13" bestFit="1" customWidth="1"/>
    <col min="3853" max="3853" width="15" style="13" customWidth="1"/>
    <col min="3854" max="3854" width="15.625" style="13" bestFit="1" customWidth="1"/>
    <col min="3855" max="3855" width="15.875" style="13" customWidth="1"/>
    <col min="3856" max="3856" width="16.25" style="13" customWidth="1"/>
    <col min="3857" max="3857" width="16.75" style="13" customWidth="1"/>
    <col min="3858" max="3858" width="14.875" style="13" customWidth="1"/>
    <col min="3859" max="3859" width="19.625" style="13" bestFit="1" customWidth="1"/>
    <col min="3860" max="3860" width="21.875" style="13" customWidth="1"/>
    <col min="3861" max="4097" width="11" style="13"/>
    <col min="4098" max="4098" width="51" style="13" customWidth="1"/>
    <col min="4099" max="4099" width="19" style="13" customWidth="1"/>
    <col min="4100" max="4100" width="15.375" style="13" customWidth="1"/>
    <col min="4101" max="4101" width="14.5" style="13" customWidth="1"/>
    <col min="4102" max="4102" width="19.75" style="13" customWidth="1"/>
    <col min="4103" max="4103" width="20.5" style="13" customWidth="1"/>
    <col min="4104" max="4104" width="15.25" style="13" customWidth="1"/>
    <col min="4105" max="4105" width="15.625" style="13" customWidth="1"/>
    <col min="4106" max="4106" width="15.625" style="13" bestFit="1" customWidth="1"/>
    <col min="4107" max="4107" width="14.875" style="13" customWidth="1"/>
    <col min="4108" max="4108" width="15.625" style="13" bestFit="1" customWidth="1"/>
    <col min="4109" max="4109" width="15" style="13" customWidth="1"/>
    <col min="4110" max="4110" width="15.625" style="13" bestFit="1" customWidth="1"/>
    <col min="4111" max="4111" width="15.875" style="13" customWidth="1"/>
    <col min="4112" max="4112" width="16.25" style="13" customWidth="1"/>
    <col min="4113" max="4113" width="16.75" style="13" customWidth="1"/>
    <col min="4114" max="4114" width="14.875" style="13" customWidth="1"/>
    <col min="4115" max="4115" width="19.625" style="13" bestFit="1" customWidth="1"/>
    <col min="4116" max="4116" width="21.875" style="13" customWidth="1"/>
    <col min="4117" max="4353" width="11" style="13"/>
    <col min="4354" max="4354" width="51" style="13" customWidth="1"/>
    <col min="4355" max="4355" width="19" style="13" customWidth="1"/>
    <col min="4356" max="4356" width="15.375" style="13" customWidth="1"/>
    <col min="4357" max="4357" width="14.5" style="13" customWidth="1"/>
    <col min="4358" max="4358" width="19.75" style="13" customWidth="1"/>
    <col min="4359" max="4359" width="20.5" style="13" customWidth="1"/>
    <col min="4360" max="4360" width="15.25" style="13" customWidth="1"/>
    <col min="4361" max="4361" width="15.625" style="13" customWidth="1"/>
    <col min="4362" max="4362" width="15.625" style="13" bestFit="1" customWidth="1"/>
    <col min="4363" max="4363" width="14.875" style="13" customWidth="1"/>
    <col min="4364" max="4364" width="15.625" style="13" bestFit="1" customWidth="1"/>
    <col min="4365" max="4365" width="15" style="13" customWidth="1"/>
    <col min="4366" max="4366" width="15.625" style="13" bestFit="1" customWidth="1"/>
    <col min="4367" max="4367" width="15.875" style="13" customWidth="1"/>
    <col min="4368" max="4368" width="16.25" style="13" customWidth="1"/>
    <col min="4369" max="4369" width="16.75" style="13" customWidth="1"/>
    <col min="4370" max="4370" width="14.875" style="13" customWidth="1"/>
    <col min="4371" max="4371" width="19.625" style="13" bestFit="1" customWidth="1"/>
    <col min="4372" max="4372" width="21.875" style="13" customWidth="1"/>
    <col min="4373" max="4609" width="11" style="13"/>
    <col min="4610" max="4610" width="51" style="13" customWidth="1"/>
    <col min="4611" max="4611" width="19" style="13" customWidth="1"/>
    <col min="4612" max="4612" width="15.375" style="13" customWidth="1"/>
    <col min="4613" max="4613" width="14.5" style="13" customWidth="1"/>
    <col min="4614" max="4614" width="19.75" style="13" customWidth="1"/>
    <col min="4615" max="4615" width="20.5" style="13" customWidth="1"/>
    <col min="4616" max="4616" width="15.25" style="13" customWidth="1"/>
    <col min="4617" max="4617" width="15.625" style="13" customWidth="1"/>
    <col min="4618" max="4618" width="15.625" style="13" bestFit="1" customWidth="1"/>
    <col min="4619" max="4619" width="14.875" style="13" customWidth="1"/>
    <col min="4620" max="4620" width="15.625" style="13" bestFit="1" customWidth="1"/>
    <col min="4621" max="4621" width="15" style="13" customWidth="1"/>
    <col min="4622" max="4622" width="15.625" style="13" bestFit="1" customWidth="1"/>
    <col min="4623" max="4623" width="15.875" style="13" customWidth="1"/>
    <col min="4624" max="4624" width="16.25" style="13" customWidth="1"/>
    <col min="4625" max="4625" width="16.75" style="13" customWidth="1"/>
    <col min="4626" max="4626" width="14.875" style="13" customWidth="1"/>
    <col min="4627" max="4627" width="19.625" style="13" bestFit="1" customWidth="1"/>
    <col min="4628" max="4628" width="21.875" style="13" customWidth="1"/>
    <col min="4629" max="4865" width="11" style="13"/>
    <col min="4866" max="4866" width="51" style="13" customWidth="1"/>
    <col min="4867" max="4867" width="19" style="13" customWidth="1"/>
    <col min="4868" max="4868" width="15.375" style="13" customWidth="1"/>
    <col min="4869" max="4869" width="14.5" style="13" customWidth="1"/>
    <col min="4870" max="4870" width="19.75" style="13" customWidth="1"/>
    <col min="4871" max="4871" width="20.5" style="13" customWidth="1"/>
    <col min="4872" max="4872" width="15.25" style="13" customWidth="1"/>
    <col min="4873" max="4873" width="15.625" style="13" customWidth="1"/>
    <col min="4874" max="4874" width="15.625" style="13" bestFit="1" customWidth="1"/>
    <col min="4875" max="4875" width="14.875" style="13" customWidth="1"/>
    <col min="4876" max="4876" width="15.625" style="13" bestFit="1" customWidth="1"/>
    <col min="4877" max="4877" width="15" style="13" customWidth="1"/>
    <col min="4878" max="4878" width="15.625" style="13" bestFit="1" customWidth="1"/>
    <col min="4879" max="4879" width="15.875" style="13" customWidth="1"/>
    <col min="4880" max="4880" width="16.25" style="13" customWidth="1"/>
    <col min="4881" max="4881" width="16.75" style="13" customWidth="1"/>
    <col min="4882" max="4882" width="14.875" style="13" customWidth="1"/>
    <col min="4883" max="4883" width="19.625" style="13" bestFit="1" customWidth="1"/>
    <col min="4884" max="4884" width="21.875" style="13" customWidth="1"/>
    <col min="4885" max="5121" width="11" style="13"/>
    <col min="5122" max="5122" width="51" style="13" customWidth="1"/>
    <col min="5123" max="5123" width="19" style="13" customWidth="1"/>
    <col min="5124" max="5124" width="15.375" style="13" customWidth="1"/>
    <col min="5125" max="5125" width="14.5" style="13" customWidth="1"/>
    <col min="5126" max="5126" width="19.75" style="13" customWidth="1"/>
    <col min="5127" max="5127" width="20.5" style="13" customWidth="1"/>
    <col min="5128" max="5128" width="15.25" style="13" customWidth="1"/>
    <col min="5129" max="5129" width="15.625" style="13" customWidth="1"/>
    <col min="5130" max="5130" width="15.625" style="13" bestFit="1" customWidth="1"/>
    <col min="5131" max="5131" width="14.875" style="13" customWidth="1"/>
    <col min="5132" max="5132" width="15.625" style="13" bestFit="1" customWidth="1"/>
    <col min="5133" max="5133" width="15" style="13" customWidth="1"/>
    <col min="5134" max="5134" width="15.625" style="13" bestFit="1" customWidth="1"/>
    <col min="5135" max="5135" width="15.875" style="13" customWidth="1"/>
    <col min="5136" max="5136" width="16.25" style="13" customWidth="1"/>
    <col min="5137" max="5137" width="16.75" style="13" customWidth="1"/>
    <col min="5138" max="5138" width="14.875" style="13" customWidth="1"/>
    <col min="5139" max="5139" width="19.625" style="13" bestFit="1" customWidth="1"/>
    <col min="5140" max="5140" width="21.875" style="13" customWidth="1"/>
    <col min="5141" max="5377" width="11" style="13"/>
    <col min="5378" max="5378" width="51" style="13" customWidth="1"/>
    <col min="5379" max="5379" width="19" style="13" customWidth="1"/>
    <col min="5380" max="5380" width="15.375" style="13" customWidth="1"/>
    <col min="5381" max="5381" width="14.5" style="13" customWidth="1"/>
    <col min="5382" max="5382" width="19.75" style="13" customWidth="1"/>
    <col min="5383" max="5383" width="20.5" style="13" customWidth="1"/>
    <col min="5384" max="5384" width="15.25" style="13" customWidth="1"/>
    <col min="5385" max="5385" width="15.625" style="13" customWidth="1"/>
    <col min="5386" max="5386" width="15.625" style="13" bestFit="1" customWidth="1"/>
    <col min="5387" max="5387" width="14.875" style="13" customWidth="1"/>
    <col min="5388" max="5388" width="15.625" style="13" bestFit="1" customWidth="1"/>
    <col min="5389" max="5389" width="15" style="13" customWidth="1"/>
    <col min="5390" max="5390" width="15.625" style="13" bestFit="1" customWidth="1"/>
    <col min="5391" max="5391" width="15.875" style="13" customWidth="1"/>
    <col min="5392" max="5392" width="16.25" style="13" customWidth="1"/>
    <col min="5393" max="5393" width="16.75" style="13" customWidth="1"/>
    <col min="5394" max="5394" width="14.875" style="13" customWidth="1"/>
    <col min="5395" max="5395" width="19.625" style="13" bestFit="1" customWidth="1"/>
    <col min="5396" max="5396" width="21.875" style="13" customWidth="1"/>
    <col min="5397" max="5633" width="11" style="13"/>
    <col min="5634" max="5634" width="51" style="13" customWidth="1"/>
    <col min="5635" max="5635" width="19" style="13" customWidth="1"/>
    <col min="5636" max="5636" width="15.375" style="13" customWidth="1"/>
    <col min="5637" max="5637" width="14.5" style="13" customWidth="1"/>
    <col min="5638" max="5638" width="19.75" style="13" customWidth="1"/>
    <col min="5639" max="5639" width="20.5" style="13" customWidth="1"/>
    <col min="5640" max="5640" width="15.25" style="13" customWidth="1"/>
    <col min="5641" max="5641" width="15.625" style="13" customWidth="1"/>
    <col min="5642" max="5642" width="15.625" style="13" bestFit="1" customWidth="1"/>
    <col min="5643" max="5643" width="14.875" style="13" customWidth="1"/>
    <col min="5644" max="5644" width="15.625" style="13" bestFit="1" customWidth="1"/>
    <col min="5645" max="5645" width="15" style="13" customWidth="1"/>
    <col min="5646" max="5646" width="15.625" style="13" bestFit="1" customWidth="1"/>
    <col min="5647" max="5647" width="15.875" style="13" customWidth="1"/>
    <col min="5648" max="5648" width="16.25" style="13" customWidth="1"/>
    <col min="5649" max="5649" width="16.75" style="13" customWidth="1"/>
    <col min="5650" max="5650" width="14.875" style="13" customWidth="1"/>
    <col min="5651" max="5651" width="19.625" style="13" bestFit="1" customWidth="1"/>
    <col min="5652" max="5652" width="21.875" style="13" customWidth="1"/>
    <col min="5653" max="5889" width="11" style="13"/>
    <col min="5890" max="5890" width="51" style="13" customWidth="1"/>
    <col min="5891" max="5891" width="19" style="13" customWidth="1"/>
    <col min="5892" max="5892" width="15.375" style="13" customWidth="1"/>
    <col min="5893" max="5893" width="14.5" style="13" customWidth="1"/>
    <col min="5894" max="5894" width="19.75" style="13" customWidth="1"/>
    <col min="5895" max="5895" width="20.5" style="13" customWidth="1"/>
    <col min="5896" max="5896" width="15.25" style="13" customWidth="1"/>
    <col min="5897" max="5897" width="15.625" style="13" customWidth="1"/>
    <col min="5898" max="5898" width="15.625" style="13" bestFit="1" customWidth="1"/>
    <col min="5899" max="5899" width="14.875" style="13" customWidth="1"/>
    <col min="5900" max="5900" width="15.625" style="13" bestFit="1" customWidth="1"/>
    <col min="5901" max="5901" width="15" style="13" customWidth="1"/>
    <col min="5902" max="5902" width="15.625" style="13" bestFit="1" customWidth="1"/>
    <col min="5903" max="5903" width="15.875" style="13" customWidth="1"/>
    <col min="5904" max="5904" width="16.25" style="13" customWidth="1"/>
    <col min="5905" max="5905" width="16.75" style="13" customWidth="1"/>
    <col min="5906" max="5906" width="14.875" style="13" customWidth="1"/>
    <col min="5907" max="5907" width="19.625" style="13" bestFit="1" customWidth="1"/>
    <col min="5908" max="5908" width="21.875" style="13" customWidth="1"/>
    <col min="5909" max="6145" width="11" style="13"/>
    <col min="6146" max="6146" width="51" style="13" customWidth="1"/>
    <col min="6147" max="6147" width="19" style="13" customWidth="1"/>
    <col min="6148" max="6148" width="15.375" style="13" customWidth="1"/>
    <col min="6149" max="6149" width="14.5" style="13" customWidth="1"/>
    <col min="6150" max="6150" width="19.75" style="13" customWidth="1"/>
    <col min="6151" max="6151" width="20.5" style="13" customWidth="1"/>
    <col min="6152" max="6152" width="15.25" style="13" customWidth="1"/>
    <col min="6153" max="6153" width="15.625" style="13" customWidth="1"/>
    <col min="6154" max="6154" width="15.625" style="13" bestFit="1" customWidth="1"/>
    <col min="6155" max="6155" width="14.875" style="13" customWidth="1"/>
    <col min="6156" max="6156" width="15.625" style="13" bestFit="1" customWidth="1"/>
    <col min="6157" max="6157" width="15" style="13" customWidth="1"/>
    <col min="6158" max="6158" width="15.625" style="13" bestFit="1" customWidth="1"/>
    <col min="6159" max="6159" width="15.875" style="13" customWidth="1"/>
    <col min="6160" max="6160" width="16.25" style="13" customWidth="1"/>
    <col min="6161" max="6161" width="16.75" style="13" customWidth="1"/>
    <col min="6162" max="6162" width="14.875" style="13" customWidth="1"/>
    <col min="6163" max="6163" width="19.625" style="13" bestFit="1" customWidth="1"/>
    <col min="6164" max="6164" width="21.875" style="13" customWidth="1"/>
    <col min="6165" max="6401" width="11" style="13"/>
    <col min="6402" max="6402" width="51" style="13" customWidth="1"/>
    <col min="6403" max="6403" width="19" style="13" customWidth="1"/>
    <col min="6404" max="6404" width="15.375" style="13" customWidth="1"/>
    <col min="6405" max="6405" width="14.5" style="13" customWidth="1"/>
    <col min="6406" max="6406" width="19.75" style="13" customWidth="1"/>
    <col min="6407" max="6407" width="20.5" style="13" customWidth="1"/>
    <col min="6408" max="6408" width="15.25" style="13" customWidth="1"/>
    <col min="6409" max="6409" width="15.625" style="13" customWidth="1"/>
    <col min="6410" max="6410" width="15.625" style="13" bestFit="1" customWidth="1"/>
    <col min="6411" max="6411" width="14.875" style="13" customWidth="1"/>
    <col min="6412" max="6412" width="15.625" style="13" bestFit="1" customWidth="1"/>
    <col min="6413" max="6413" width="15" style="13" customWidth="1"/>
    <col min="6414" max="6414" width="15.625" style="13" bestFit="1" customWidth="1"/>
    <col min="6415" max="6415" width="15.875" style="13" customWidth="1"/>
    <col min="6416" max="6416" width="16.25" style="13" customWidth="1"/>
    <col min="6417" max="6417" width="16.75" style="13" customWidth="1"/>
    <col min="6418" max="6418" width="14.875" style="13" customWidth="1"/>
    <col min="6419" max="6419" width="19.625" style="13" bestFit="1" customWidth="1"/>
    <col min="6420" max="6420" width="21.875" style="13" customWidth="1"/>
    <col min="6421" max="6657" width="11" style="13"/>
    <col min="6658" max="6658" width="51" style="13" customWidth="1"/>
    <col min="6659" max="6659" width="19" style="13" customWidth="1"/>
    <col min="6660" max="6660" width="15.375" style="13" customWidth="1"/>
    <col min="6661" max="6661" width="14.5" style="13" customWidth="1"/>
    <col min="6662" max="6662" width="19.75" style="13" customWidth="1"/>
    <col min="6663" max="6663" width="20.5" style="13" customWidth="1"/>
    <col min="6664" max="6664" width="15.25" style="13" customWidth="1"/>
    <col min="6665" max="6665" width="15.625" style="13" customWidth="1"/>
    <col min="6666" max="6666" width="15.625" style="13" bestFit="1" customWidth="1"/>
    <col min="6667" max="6667" width="14.875" style="13" customWidth="1"/>
    <col min="6668" max="6668" width="15.625" style="13" bestFit="1" customWidth="1"/>
    <col min="6669" max="6669" width="15" style="13" customWidth="1"/>
    <col min="6670" max="6670" width="15.625" style="13" bestFit="1" customWidth="1"/>
    <col min="6671" max="6671" width="15.875" style="13" customWidth="1"/>
    <col min="6672" max="6672" width="16.25" style="13" customWidth="1"/>
    <col min="6673" max="6673" width="16.75" style="13" customWidth="1"/>
    <col min="6674" max="6674" width="14.875" style="13" customWidth="1"/>
    <col min="6675" max="6675" width="19.625" style="13" bestFit="1" customWidth="1"/>
    <col min="6676" max="6676" width="21.875" style="13" customWidth="1"/>
    <col min="6677" max="6913" width="11" style="13"/>
    <col min="6914" max="6914" width="51" style="13" customWidth="1"/>
    <col min="6915" max="6915" width="19" style="13" customWidth="1"/>
    <col min="6916" max="6916" width="15.375" style="13" customWidth="1"/>
    <col min="6917" max="6917" width="14.5" style="13" customWidth="1"/>
    <col min="6918" max="6918" width="19.75" style="13" customWidth="1"/>
    <col min="6919" max="6919" width="20.5" style="13" customWidth="1"/>
    <col min="6920" max="6920" width="15.25" style="13" customWidth="1"/>
    <col min="6921" max="6921" width="15.625" style="13" customWidth="1"/>
    <col min="6922" max="6922" width="15.625" style="13" bestFit="1" customWidth="1"/>
    <col min="6923" max="6923" width="14.875" style="13" customWidth="1"/>
    <col min="6924" max="6924" width="15.625" style="13" bestFit="1" customWidth="1"/>
    <col min="6925" max="6925" width="15" style="13" customWidth="1"/>
    <col min="6926" max="6926" width="15.625" style="13" bestFit="1" customWidth="1"/>
    <col min="6927" max="6927" width="15.875" style="13" customWidth="1"/>
    <col min="6928" max="6928" width="16.25" style="13" customWidth="1"/>
    <col min="6929" max="6929" width="16.75" style="13" customWidth="1"/>
    <col min="6930" max="6930" width="14.875" style="13" customWidth="1"/>
    <col min="6931" max="6931" width="19.625" style="13" bestFit="1" customWidth="1"/>
    <col min="6932" max="6932" width="21.875" style="13" customWidth="1"/>
    <col min="6933" max="7169" width="11" style="13"/>
    <col min="7170" max="7170" width="51" style="13" customWidth="1"/>
    <col min="7171" max="7171" width="19" style="13" customWidth="1"/>
    <col min="7172" max="7172" width="15.375" style="13" customWidth="1"/>
    <col min="7173" max="7173" width="14.5" style="13" customWidth="1"/>
    <col min="7174" max="7174" width="19.75" style="13" customWidth="1"/>
    <col min="7175" max="7175" width="20.5" style="13" customWidth="1"/>
    <col min="7176" max="7176" width="15.25" style="13" customWidth="1"/>
    <col min="7177" max="7177" width="15.625" style="13" customWidth="1"/>
    <col min="7178" max="7178" width="15.625" style="13" bestFit="1" customWidth="1"/>
    <col min="7179" max="7179" width="14.875" style="13" customWidth="1"/>
    <col min="7180" max="7180" width="15.625" style="13" bestFit="1" customWidth="1"/>
    <col min="7181" max="7181" width="15" style="13" customWidth="1"/>
    <col min="7182" max="7182" width="15.625" style="13" bestFit="1" customWidth="1"/>
    <col min="7183" max="7183" width="15.875" style="13" customWidth="1"/>
    <col min="7184" max="7184" width="16.25" style="13" customWidth="1"/>
    <col min="7185" max="7185" width="16.75" style="13" customWidth="1"/>
    <col min="7186" max="7186" width="14.875" style="13" customWidth="1"/>
    <col min="7187" max="7187" width="19.625" style="13" bestFit="1" customWidth="1"/>
    <col min="7188" max="7188" width="21.875" style="13" customWidth="1"/>
    <col min="7189" max="7425" width="11" style="13"/>
    <col min="7426" max="7426" width="51" style="13" customWidth="1"/>
    <col min="7427" max="7427" width="19" style="13" customWidth="1"/>
    <col min="7428" max="7428" width="15.375" style="13" customWidth="1"/>
    <col min="7429" max="7429" width="14.5" style="13" customWidth="1"/>
    <col min="7430" max="7430" width="19.75" style="13" customWidth="1"/>
    <col min="7431" max="7431" width="20.5" style="13" customWidth="1"/>
    <col min="7432" max="7432" width="15.25" style="13" customWidth="1"/>
    <col min="7433" max="7433" width="15.625" style="13" customWidth="1"/>
    <col min="7434" max="7434" width="15.625" style="13" bestFit="1" customWidth="1"/>
    <col min="7435" max="7435" width="14.875" style="13" customWidth="1"/>
    <col min="7436" max="7436" width="15.625" style="13" bestFit="1" customWidth="1"/>
    <col min="7437" max="7437" width="15" style="13" customWidth="1"/>
    <col min="7438" max="7438" width="15.625" style="13" bestFit="1" customWidth="1"/>
    <col min="7439" max="7439" width="15.875" style="13" customWidth="1"/>
    <col min="7440" max="7440" width="16.25" style="13" customWidth="1"/>
    <col min="7441" max="7441" width="16.75" style="13" customWidth="1"/>
    <col min="7442" max="7442" width="14.875" style="13" customWidth="1"/>
    <col min="7443" max="7443" width="19.625" style="13" bestFit="1" customWidth="1"/>
    <col min="7444" max="7444" width="21.875" style="13" customWidth="1"/>
    <col min="7445" max="7681" width="11" style="13"/>
    <col min="7682" max="7682" width="51" style="13" customWidth="1"/>
    <col min="7683" max="7683" width="19" style="13" customWidth="1"/>
    <col min="7684" max="7684" width="15.375" style="13" customWidth="1"/>
    <col min="7685" max="7685" width="14.5" style="13" customWidth="1"/>
    <col min="7686" max="7686" width="19.75" style="13" customWidth="1"/>
    <col min="7687" max="7687" width="20.5" style="13" customWidth="1"/>
    <col min="7688" max="7688" width="15.25" style="13" customWidth="1"/>
    <col min="7689" max="7689" width="15.625" style="13" customWidth="1"/>
    <col min="7690" max="7690" width="15.625" style="13" bestFit="1" customWidth="1"/>
    <col min="7691" max="7691" width="14.875" style="13" customWidth="1"/>
    <col min="7692" max="7692" width="15.625" style="13" bestFit="1" customWidth="1"/>
    <col min="7693" max="7693" width="15" style="13" customWidth="1"/>
    <col min="7694" max="7694" width="15.625" style="13" bestFit="1" customWidth="1"/>
    <col min="7695" max="7695" width="15.875" style="13" customWidth="1"/>
    <col min="7696" max="7696" width="16.25" style="13" customWidth="1"/>
    <col min="7697" max="7697" width="16.75" style="13" customWidth="1"/>
    <col min="7698" max="7698" width="14.875" style="13" customWidth="1"/>
    <col min="7699" max="7699" width="19.625" style="13" bestFit="1" customWidth="1"/>
    <col min="7700" max="7700" width="21.875" style="13" customWidth="1"/>
    <col min="7701" max="7937" width="11" style="13"/>
    <col min="7938" max="7938" width="51" style="13" customWidth="1"/>
    <col min="7939" max="7939" width="19" style="13" customWidth="1"/>
    <col min="7940" max="7940" width="15.375" style="13" customWidth="1"/>
    <col min="7941" max="7941" width="14.5" style="13" customWidth="1"/>
    <col min="7942" max="7942" width="19.75" style="13" customWidth="1"/>
    <col min="7943" max="7943" width="20.5" style="13" customWidth="1"/>
    <col min="7944" max="7944" width="15.25" style="13" customWidth="1"/>
    <col min="7945" max="7945" width="15.625" style="13" customWidth="1"/>
    <col min="7946" max="7946" width="15.625" style="13" bestFit="1" customWidth="1"/>
    <col min="7947" max="7947" width="14.875" style="13" customWidth="1"/>
    <col min="7948" max="7948" width="15.625" style="13" bestFit="1" customWidth="1"/>
    <col min="7949" max="7949" width="15" style="13" customWidth="1"/>
    <col min="7950" max="7950" width="15.625" style="13" bestFit="1" customWidth="1"/>
    <col min="7951" max="7951" width="15.875" style="13" customWidth="1"/>
    <col min="7952" max="7952" width="16.25" style="13" customWidth="1"/>
    <col min="7953" max="7953" width="16.75" style="13" customWidth="1"/>
    <col min="7954" max="7954" width="14.875" style="13" customWidth="1"/>
    <col min="7955" max="7955" width="19.625" style="13" bestFit="1" customWidth="1"/>
    <col min="7956" max="7956" width="21.875" style="13" customWidth="1"/>
    <col min="7957" max="8193" width="11" style="13"/>
    <col min="8194" max="8194" width="51" style="13" customWidth="1"/>
    <col min="8195" max="8195" width="19" style="13" customWidth="1"/>
    <col min="8196" max="8196" width="15.375" style="13" customWidth="1"/>
    <col min="8197" max="8197" width="14.5" style="13" customWidth="1"/>
    <col min="8198" max="8198" width="19.75" style="13" customWidth="1"/>
    <col min="8199" max="8199" width="20.5" style="13" customWidth="1"/>
    <col min="8200" max="8200" width="15.25" style="13" customWidth="1"/>
    <col min="8201" max="8201" width="15.625" style="13" customWidth="1"/>
    <col min="8202" max="8202" width="15.625" style="13" bestFit="1" customWidth="1"/>
    <col min="8203" max="8203" width="14.875" style="13" customWidth="1"/>
    <col min="8204" max="8204" width="15.625" style="13" bestFit="1" customWidth="1"/>
    <col min="8205" max="8205" width="15" style="13" customWidth="1"/>
    <col min="8206" max="8206" width="15.625" style="13" bestFit="1" customWidth="1"/>
    <col min="8207" max="8207" width="15.875" style="13" customWidth="1"/>
    <col min="8208" max="8208" width="16.25" style="13" customWidth="1"/>
    <col min="8209" max="8209" width="16.75" style="13" customWidth="1"/>
    <col min="8210" max="8210" width="14.875" style="13" customWidth="1"/>
    <col min="8211" max="8211" width="19.625" style="13" bestFit="1" customWidth="1"/>
    <col min="8212" max="8212" width="21.875" style="13" customWidth="1"/>
    <col min="8213" max="8449" width="11" style="13"/>
    <col min="8450" max="8450" width="51" style="13" customWidth="1"/>
    <col min="8451" max="8451" width="19" style="13" customWidth="1"/>
    <col min="8452" max="8452" width="15.375" style="13" customWidth="1"/>
    <col min="8453" max="8453" width="14.5" style="13" customWidth="1"/>
    <col min="8454" max="8454" width="19.75" style="13" customWidth="1"/>
    <col min="8455" max="8455" width="20.5" style="13" customWidth="1"/>
    <col min="8456" max="8456" width="15.25" style="13" customWidth="1"/>
    <col min="8457" max="8457" width="15.625" style="13" customWidth="1"/>
    <col min="8458" max="8458" width="15.625" style="13" bestFit="1" customWidth="1"/>
    <col min="8459" max="8459" width="14.875" style="13" customWidth="1"/>
    <col min="8460" max="8460" width="15.625" style="13" bestFit="1" customWidth="1"/>
    <col min="8461" max="8461" width="15" style="13" customWidth="1"/>
    <col min="8462" max="8462" width="15.625" style="13" bestFit="1" customWidth="1"/>
    <col min="8463" max="8463" width="15.875" style="13" customWidth="1"/>
    <col min="8464" max="8464" width="16.25" style="13" customWidth="1"/>
    <col min="8465" max="8465" width="16.75" style="13" customWidth="1"/>
    <col min="8466" max="8466" width="14.875" style="13" customWidth="1"/>
    <col min="8467" max="8467" width="19.625" style="13" bestFit="1" customWidth="1"/>
    <col min="8468" max="8468" width="21.875" style="13" customWidth="1"/>
    <col min="8469" max="8705" width="11" style="13"/>
    <col min="8706" max="8706" width="51" style="13" customWidth="1"/>
    <col min="8707" max="8707" width="19" style="13" customWidth="1"/>
    <col min="8708" max="8708" width="15.375" style="13" customWidth="1"/>
    <col min="8709" max="8709" width="14.5" style="13" customWidth="1"/>
    <col min="8710" max="8710" width="19.75" style="13" customWidth="1"/>
    <col min="8711" max="8711" width="20.5" style="13" customWidth="1"/>
    <col min="8712" max="8712" width="15.25" style="13" customWidth="1"/>
    <col min="8713" max="8713" width="15.625" style="13" customWidth="1"/>
    <col min="8714" max="8714" width="15.625" style="13" bestFit="1" customWidth="1"/>
    <col min="8715" max="8715" width="14.875" style="13" customWidth="1"/>
    <col min="8716" max="8716" width="15.625" style="13" bestFit="1" customWidth="1"/>
    <col min="8717" max="8717" width="15" style="13" customWidth="1"/>
    <col min="8718" max="8718" width="15.625" style="13" bestFit="1" customWidth="1"/>
    <col min="8719" max="8719" width="15.875" style="13" customWidth="1"/>
    <col min="8720" max="8720" width="16.25" style="13" customWidth="1"/>
    <col min="8721" max="8721" width="16.75" style="13" customWidth="1"/>
    <col min="8722" max="8722" width="14.875" style="13" customWidth="1"/>
    <col min="8723" max="8723" width="19.625" style="13" bestFit="1" customWidth="1"/>
    <col min="8724" max="8724" width="21.875" style="13" customWidth="1"/>
    <col min="8725" max="8961" width="11" style="13"/>
    <col min="8962" max="8962" width="51" style="13" customWidth="1"/>
    <col min="8963" max="8963" width="19" style="13" customWidth="1"/>
    <col min="8964" max="8964" width="15.375" style="13" customWidth="1"/>
    <col min="8965" max="8965" width="14.5" style="13" customWidth="1"/>
    <col min="8966" max="8966" width="19.75" style="13" customWidth="1"/>
    <col min="8967" max="8967" width="20.5" style="13" customWidth="1"/>
    <col min="8968" max="8968" width="15.25" style="13" customWidth="1"/>
    <col min="8969" max="8969" width="15.625" style="13" customWidth="1"/>
    <col min="8970" max="8970" width="15.625" style="13" bestFit="1" customWidth="1"/>
    <col min="8971" max="8971" width="14.875" style="13" customWidth="1"/>
    <col min="8972" max="8972" width="15.625" style="13" bestFit="1" customWidth="1"/>
    <col min="8973" max="8973" width="15" style="13" customWidth="1"/>
    <col min="8974" max="8974" width="15.625" style="13" bestFit="1" customWidth="1"/>
    <col min="8975" max="8975" width="15.875" style="13" customWidth="1"/>
    <col min="8976" max="8976" width="16.25" style="13" customWidth="1"/>
    <col min="8977" max="8977" width="16.75" style="13" customWidth="1"/>
    <col min="8978" max="8978" width="14.875" style="13" customWidth="1"/>
    <col min="8979" max="8979" width="19.625" style="13" bestFit="1" customWidth="1"/>
    <col min="8980" max="8980" width="21.875" style="13" customWidth="1"/>
    <col min="8981" max="9217" width="11" style="13"/>
    <col min="9218" max="9218" width="51" style="13" customWidth="1"/>
    <col min="9219" max="9219" width="19" style="13" customWidth="1"/>
    <col min="9220" max="9220" width="15.375" style="13" customWidth="1"/>
    <col min="9221" max="9221" width="14.5" style="13" customWidth="1"/>
    <col min="9222" max="9222" width="19.75" style="13" customWidth="1"/>
    <col min="9223" max="9223" width="20.5" style="13" customWidth="1"/>
    <col min="9224" max="9224" width="15.25" style="13" customWidth="1"/>
    <col min="9225" max="9225" width="15.625" style="13" customWidth="1"/>
    <col min="9226" max="9226" width="15.625" style="13" bestFit="1" customWidth="1"/>
    <col min="9227" max="9227" width="14.875" style="13" customWidth="1"/>
    <col min="9228" max="9228" width="15.625" style="13" bestFit="1" customWidth="1"/>
    <col min="9229" max="9229" width="15" style="13" customWidth="1"/>
    <col min="9230" max="9230" width="15.625" style="13" bestFit="1" customWidth="1"/>
    <col min="9231" max="9231" width="15.875" style="13" customWidth="1"/>
    <col min="9232" max="9232" width="16.25" style="13" customWidth="1"/>
    <col min="9233" max="9233" width="16.75" style="13" customWidth="1"/>
    <col min="9234" max="9234" width="14.875" style="13" customWidth="1"/>
    <col min="9235" max="9235" width="19.625" style="13" bestFit="1" customWidth="1"/>
    <col min="9236" max="9236" width="21.875" style="13" customWidth="1"/>
    <col min="9237" max="9473" width="11" style="13"/>
    <col min="9474" max="9474" width="51" style="13" customWidth="1"/>
    <col min="9475" max="9475" width="19" style="13" customWidth="1"/>
    <col min="9476" max="9476" width="15.375" style="13" customWidth="1"/>
    <col min="9477" max="9477" width="14.5" style="13" customWidth="1"/>
    <col min="9478" max="9478" width="19.75" style="13" customWidth="1"/>
    <col min="9479" max="9479" width="20.5" style="13" customWidth="1"/>
    <col min="9480" max="9480" width="15.25" style="13" customWidth="1"/>
    <col min="9481" max="9481" width="15.625" style="13" customWidth="1"/>
    <col min="9482" max="9482" width="15.625" style="13" bestFit="1" customWidth="1"/>
    <col min="9483" max="9483" width="14.875" style="13" customWidth="1"/>
    <col min="9484" max="9484" width="15.625" style="13" bestFit="1" customWidth="1"/>
    <col min="9485" max="9485" width="15" style="13" customWidth="1"/>
    <col min="9486" max="9486" width="15.625" style="13" bestFit="1" customWidth="1"/>
    <col min="9487" max="9487" width="15.875" style="13" customWidth="1"/>
    <col min="9488" max="9488" width="16.25" style="13" customWidth="1"/>
    <col min="9489" max="9489" width="16.75" style="13" customWidth="1"/>
    <col min="9490" max="9490" width="14.875" style="13" customWidth="1"/>
    <col min="9491" max="9491" width="19.625" style="13" bestFit="1" customWidth="1"/>
    <col min="9492" max="9492" width="21.875" style="13" customWidth="1"/>
    <col min="9493" max="9729" width="11" style="13"/>
    <col min="9730" max="9730" width="51" style="13" customWidth="1"/>
    <col min="9731" max="9731" width="19" style="13" customWidth="1"/>
    <col min="9732" max="9732" width="15.375" style="13" customWidth="1"/>
    <col min="9733" max="9733" width="14.5" style="13" customWidth="1"/>
    <col min="9734" max="9734" width="19.75" style="13" customWidth="1"/>
    <col min="9735" max="9735" width="20.5" style="13" customWidth="1"/>
    <col min="9736" max="9736" width="15.25" style="13" customWidth="1"/>
    <col min="9737" max="9737" width="15.625" style="13" customWidth="1"/>
    <col min="9738" max="9738" width="15.625" style="13" bestFit="1" customWidth="1"/>
    <col min="9739" max="9739" width="14.875" style="13" customWidth="1"/>
    <col min="9740" max="9740" width="15.625" style="13" bestFit="1" customWidth="1"/>
    <col min="9741" max="9741" width="15" style="13" customWidth="1"/>
    <col min="9742" max="9742" width="15.625" style="13" bestFit="1" customWidth="1"/>
    <col min="9743" max="9743" width="15.875" style="13" customWidth="1"/>
    <col min="9744" max="9744" width="16.25" style="13" customWidth="1"/>
    <col min="9745" max="9745" width="16.75" style="13" customWidth="1"/>
    <col min="9746" max="9746" width="14.875" style="13" customWidth="1"/>
    <col min="9747" max="9747" width="19.625" style="13" bestFit="1" customWidth="1"/>
    <col min="9748" max="9748" width="21.875" style="13" customWidth="1"/>
    <col min="9749" max="9985" width="11" style="13"/>
    <col min="9986" max="9986" width="51" style="13" customWidth="1"/>
    <col min="9987" max="9987" width="19" style="13" customWidth="1"/>
    <col min="9988" max="9988" width="15.375" style="13" customWidth="1"/>
    <col min="9989" max="9989" width="14.5" style="13" customWidth="1"/>
    <col min="9990" max="9990" width="19.75" style="13" customWidth="1"/>
    <col min="9991" max="9991" width="20.5" style="13" customWidth="1"/>
    <col min="9992" max="9992" width="15.25" style="13" customWidth="1"/>
    <col min="9993" max="9993" width="15.625" style="13" customWidth="1"/>
    <col min="9994" max="9994" width="15.625" style="13" bestFit="1" customWidth="1"/>
    <col min="9995" max="9995" width="14.875" style="13" customWidth="1"/>
    <col min="9996" max="9996" width="15.625" style="13" bestFit="1" customWidth="1"/>
    <col min="9997" max="9997" width="15" style="13" customWidth="1"/>
    <col min="9998" max="9998" width="15.625" style="13" bestFit="1" customWidth="1"/>
    <col min="9999" max="9999" width="15.875" style="13" customWidth="1"/>
    <col min="10000" max="10000" width="16.25" style="13" customWidth="1"/>
    <col min="10001" max="10001" width="16.75" style="13" customWidth="1"/>
    <col min="10002" max="10002" width="14.875" style="13" customWidth="1"/>
    <col min="10003" max="10003" width="19.625" style="13" bestFit="1" customWidth="1"/>
    <col min="10004" max="10004" width="21.875" style="13" customWidth="1"/>
    <col min="10005" max="10241" width="11" style="13"/>
    <col min="10242" max="10242" width="51" style="13" customWidth="1"/>
    <col min="10243" max="10243" width="19" style="13" customWidth="1"/>
    <col min="10244" max="10244" width="15.375" style="13" customWidth="1"/>
    <col min="10245" max="10245" width="14.5" style="13" customWidth="1"/>
    <col min="10246" max="10246" width="19.75" style="13" customWidth="1"/>
    <col min="10247" max="10247" width="20.5" style="13" customWidth="1"/>
    <col min="10248" max="10248" width="15.25" style="13" customWidth="1"/>
    <col min="10249" max="10249" width="15.625" style="13" customWidth="1"/>
    <col min="10250" max="10250" width="15.625" style="13" bestFit="1" customWidth="1"/>
    <col min="10251" max="10251" width="14.875" style="13" customWidth="1"/>
    <col min="10252" max="10252" width="15.625" style="13" bestFit="1" customWidth="1"/>
    <col min="10253" max="10253" width="15" style="13" customWidth="1"/>
    <col min="10254" max="10254" width="15.625" style="13" bestFit="1" customWidth="1"/>
    <col min="10255" max="10255" width="15.875" style="13" customWidth="1"/>
    <col min="10256" max="10256" width="16.25" style="13" customWidth="1"/>
    <col min="10257" max="10257" width="16.75" style="13" customWidth="1"/>
    <col min="10258" max="10258" width="14.875" style="13" customWidth="1"/>
    <col min="10259" max="10259" width="19.625" style="13" bestFit="1" customWidth="1"/>
    <col min="10260" max="10260" width="21.875" style="13" customWidth="1"/>
    <col min="10261" max="10497" width="11" style="13"/>
    <col min="10498" max="10498" width="51" style="13" customWidth="1"/>
    <col min="10499" max="10499" width="19" style="13" customWidth="1"/>
    <col min="10500" max="10500" width="15.375" style="13" customWidth="1"/>
    <col min="10501" max="10501" width="14.5" style="13" customWidth="1"/>
    <col min="10502" max="10502" width="19.75" style="13" customWidth="1"/>
    <col min="10503" max="10503" width="20.5" style="13" customWidth="1"/>
    <col min="10504" max="10504" width="15.25" style="13" customWidth="1"/>
    <col min="10505" max="10505" width="15.625" style="13" customWidth="1"/>
    <col min="10506" max="10506" width="15.625" style="13" bestFit="1" customWidth="1"/>
    <col min="10507" max="10507" width="14.875" style="13" customWidth="1"/>
    <col min="10508" max="10508" width="15.625" style="13" bestFit="1" customWidth="1"/>
    <col min="10509" max="10509" width="15" style="13" customWidth="1"/>
    <col min="10510" max="10510" width="15.625" style="13" bestFit="1" customWidth="1"/>
    <col min="10511" max="10511" width="15.875" style="13" customWidth="1"/>
    <col min="10512" max="10512" width="16.25" style="13" customWidth="1"/>
    <col min="10513" max="10513" width="16.75" style="13" customWidth="1"/>
    <col min="10514" max="10514" width="14.875" style="13" customWidth="1"/>
    <col min="10515" max="10515" width="19.625" style="13" bestFit="1" customWidth="1"/>
    <col min="10516" max="10516" width="21.875" style="13" customWidth="1"/>
    <col min="10517" max="10753" width="11" style="13"/>
    <col min="10754" max="10754" width="51" style="13" customWidth="1"/>
    <col min="10755" max="10755" width="19" style="13" customWidth="1"/>
    <col min="10756" max="10756" width="15.375" style="13" customWidth="1"/>
    <col min="10757" max="10757" width="14.5" style="13" customWidth="1"/>
    <col min="10758" max="10758" width="19.75" style="13" customWidth="1"/>
    <col min="10759" max="10759" width="20.5" style="13" customWidth="1"/>
    <col min="10760" max="10760" width="15.25" style="13" customWidth="1"/>
    <col min="10761" max="10761" width="15.625" style="13" customWidth="1"/>
    <col min="10762" max="10762" width="15.625" style="13" bestFit="1" customWidth="1"/>
    <col min="10763" max="10763" width="14.875" style="13" customWidth="1"/>
    <col min="10764" max="10764" width="15.625" style="13" bestFit="1" customWidth="1"/>
    <col min="10765" max="10765" width="15" style="13" customWidth="1"/>
    <col min="10766" max="10766" width="15.625" style="13" bestFit="1" customWidth="1"/>
    <col min="10767" max="10767" width="15.875" style="13" customWidth="1"/>
    <col min="10768" max="10768" width="16.25" style="13" customWidth="1"/>
    <col min="10769" max="10769" width="16.75" style="13" customWidth="1"/>
    <col min="10770" max="10770" width="14.875" style="13" customWidth="1"/>
    <col min="10771" max="10771" width="19.625" style="13" bestFit="1" customWidth="1"/>
    <col min="10772" max="10772" width="21.875" style="13" customWidth="1"/>
    <col min="10773" max="11009" width="11" style="13"/>
    <col min="11010" max="11010" width="51" style="13" customWidth="1"/>
    <col min="11011" max="11011" width="19" style="13" customWidth="1"/>
    <col min="11012" max="11012" width="15.375" style="13" customWidth="1"/>
    <col min="11013" max="11013" width="14.5" style="13" customWidth="1"/>
    <col min="11014" max="11014" width="19.75" style="13" customWidth="1"/>
    <col min="11015" max="11015" width="20.5" style="13" customWidth="1"/>
    <col min="11016" max="11016" width="15.25" style="13" customWidth="1"/>
    <col min="11017" max="11017" width="15.625" style="13" customWidth="1"/>
    <col min="11018" max="11018" width="15.625" style="13" bestFit="1" customWidth="1"/>
    <col min="11019" max="11019" width="14.875" style="13" customWidth="1"/>
    <col min="11020" max="11020" width="15.625" style="13" bestFit="1" customWidth="1"/>
    <col min="11021" max="11021" width="15" style="13" customWidth="1"/>
    <col min="11022" max="11022" width="15.625" style="13" bestFit="1" customWidth="1"/>
    <col min="11023" max="11023" width="15.875" style="13" customWidth="1"/>
    <col min="11024" max="11024" width="16.25" style="13" customWidth="1"/>
    <col min="11025" max="11025" width="16.75" style="13" customWidth="1"/>
    <col min="11026" max="11026" width="14.875" style="13" customWidth="1"/>
    <col min="11027" max="11027" width="19.625" style="13" bestFit="1" customWidth="1"/>
    <col min="11028" max="11028" width="21.875" style="13" customWidth="1"/>
    <col min="11029" max="11265" width="11" style="13"/>
    <col min="11266" max="11266" width="51" style="13" customWidth="1"/>
    <col min="11267" max="11267" width="19" style="13" customWidth="1"/>
    <col min="11268" max="11268" width="15.375" style="13" customWidth="1"/>
    <col min="11269" max="11269" width="14.5" style="13" customWidth="1"/>
    <col min="11270" max="11270" width="19.75" style="13" customWidth="1"/>
    <col min="11271" max="11271" width="20.5" style="13" customWidth="1"/>
    <col min="11272" max="11272" width="15.25" style="13" customWidth="1"/>
    <col min="11273" max="11273" width="15.625" style="13" customWidth="1"/>
    <col min="11274" max="11274" width="15.625" style="13" bestFit="1" customWidth="1"/>
    <col min="11275" max="11275" width="14.875" style="13" customWidth="1"/>
    <col min="11276" max="11276" width="15.625" style="13" bestFit="1" customWidth="1"/>
    <col min="11277" max="11277" width="15" style="13" customWidth="1"/>
    <col min="11278" max="11278" width="15.625" style="13" bestFit="1" customWidth="1"/>
    <col min="11279" max="11279" width="15.875" style="13" customWidth="1"/>
    <col min="11280" max="11280" width="16.25" style="13" customWidth="1"/>
    <col min="11281" max="11281" width="16.75" style="13" customWidth="1"/>
    <col min="11282" max="11282" width="14.875" style="13" customWidth="1"/>
    <col min="11283" max="11283" width="19.625" style="13" bestFit="1" customWidth="1"/>
    <col min="11284" max="11284" width="21.875" style="13" customWidth="1"/>
    <col min="11285" max="11521" width="11" style="13"/>
    <col min="11522" max="11522" width="51" style="13" customWidth="1"/>
    <col min="11523" max="11523" width="19" style="13" customWidth="1"/>
    <col min="11524" max="11524" width="15.375" style="13" customWidth="1"/>
    <col min="11525" max="11525" width="14.5" style="13" customWidth="1"/>
    <col min="11526" max="11526" width="19.75" style="13" customWidth="1"/>
    <col min="11527" max="11527" width="20.5" style="13" customWidth="1"/>
    <col min="11528" max="11528" width="15.25" style="13" customWidth="1"/>
    <col min="11529" max="11529" width="15.625" style="13" customWidth="1"/>
    <col min="11530" max="11530" width="15.625" style="13" bestFit="1" customWidth="1"/>
    <col min="11531" max="11531" width="14.875" style="13" customWidth="1"/>
    <col min="11532" max="11532" width="15.625" style="13" bestFit="1" customWidth="1"/>
    <col min="11533" max="11533" width="15" style="13" customWidth="1"/>
    <col min="11534" max="11534" width="15.625" style="13" bestFit="1" customWidth="1"/>
    <col min="11535" max="11535" width="15.875" style="13" customWidth="1"/>
    <col min="11536" max="11536" width="16.25" style="13" customWidth="1"/>
    <col min="11537" max="11537" width="16.75" style="13" customWidth="1"/>
    <col min="11538" max="11538" width="14.875" style="13" customWidth="1"/>
    <col min="11539" max="11539" width="19.625" style="13" bestFit="1" customWidth="1"/>
    <col min="11540" max="11540" width="21.875" style="13" customWidth="1"/>
    <col min="11541" max="11777" width="11" style="13"/>
    <col min="11778" max="11778" width="51" style="13" customWidth="1"/>
    <col min="11779" max="11779" width="19" style="13" customWidth="1"/>
    <col min="11780" max="11780" width="15.375" style="13" customWidth="1"/>
    <col min="11781" max="11781" width="14.5" style="13" customWidth="1"/>
    <col min="11782" max="11782" width="19.75" style="13" customWidth="1"/>
    <col min="11783" max="11783" width="20.5" style="13" customWidth="1"/>
    <col min="11784" max="11784" width="15.25" style="13" customWidth="1"/>
    <col min="11785" max="11785" width="15.625" style="13" customWidth="1"/>
    <col min="11786" max="11786" width="15.625" style="13" bestFit="1" customWidth="1"/>
    <col min="11787" max="11787" width="14.875" style="13" customWidth="1"/>
    <col min="11788" max="11788" width="15.625" style="13" bestFit="1" customWidth="1"/>
    <col min="11789" max="11789" width="15" style="13" customWidth="1"/>
    <col min="11790" max="11790" width="15.625" style="13" bestFit="1" customWidth="1"/>
    <col min="11791" max="11791" width="15.875" style="13" customWidth="1"/>
    <col min="11792" max="11792" width="16.25" style="13" customWidth="1"/>
    <col min="11793" max="11793" width="16.75" style="13" customWidth="1"/>
    <col min="11794" max="11794" width="14.875" style="13" customWidth="1"/>
    <col min="11795" max="11795" width="19.625" style="13" bestFit="1" customWidth="1"/>
    <col min="11796" max="11796" width="21.875" style="13" customWidth="1"/>
    <col min="11797" max="12033" width="11" style="13"/>
    <col min="12034" max="12034" width="51" style="13" customWidth="1"/>
    <col min="12035" max="12035" width="19" style="13" customWidth="1"/>
    <col min="12036" max="12036" width="15.375" style="13" customWidth="1"/>
    <col min="12037" max="12037" width="14.5" style="13" customWidth="1"/>
    <col min="12038" max="12038" width="19.75" style="13" customWidth="1"/>
    <col min="12039" max="12039" width="20.5" style="13" customWidth="1"/>
    <col min="12040" max="12040" width="15.25" style="13" customWidth="1"/>
    <col min="12041" max="12041" width="15.625" style="13" customWidth="1"/>
    <col min="12042" max="12042" width="15.625" style="13" bestFit="1" customWidth="1"/>
    <col min="12043" max="12043" width="14.875" style="13" customWidth="1"/>
    <col min="12044" max="12044" width="15.625" style="13" bestFit="1" customWidth="1"/>
    <col min="12045" max="12045" width="15" style="13" customWidth="1"/>
    <col min="12046" max="12046" width="15.625" style="13" bestFit="1" customWidth="1"/>
    <col min="12047" max="12047" width="15.875" style="13" customWidth="1"/>
    <col min="12048" max="12048" width="16.25" style="13" customWidth="1"/>
    <col min="12049" max="12049" width="16.75" style="13" customWidth="1"/>
    <col min="12050" max="12050" width="14.875" style="13" customWidth="1"/>
    <col min="12051" max="12051" width="19.625" style="13" bestFit="1" customWidth="1"/>
    <col min="12052" max="12052" width="21.875" style="13" customWidth="1"/>
    <col min="12053" max="12289" width="11" style="13"/>
    <col min="12290" max="12290" width="51" style="13" customWidth="1"/>
    <col min="12291" max="12291" width="19" style="13" customWidth="1"/>
    <col min="12292" max="12292" width="15.375" style="13" customWidth="1"/>
    <col min="12293" max="12293" width="14.5" style="13" customWidth="1"/>
    <col min="12294" max="12294" width="19.75" style="13" customWidth="1"/>
    <col min="12295" max="12295" width="20.5" style="13" customWidth="1"/>
    <col min="12296" max="12296" width="15.25" style="13" customWidth="1"/>
    <col min="12297" max="12297" width="15.625" style="13" customWidth="1"/>
    <col min="12298" max="12298" width="15.625" style="13" bestFit="1" customWidth="1"/>
    <col min="12299" max="12299" width="14.875" style="13" customWidth="1"/>
    <col min="12300" max="12300" width="15.625" style="13" bestFit="1" customWidth="1"/>
    <col min="12301" max="12301" width="15" style="13" customWidth="1"/>
    <col min="12302" max="12302" width="15.625" style="13" bestFit="1" customWidth="1"/>
    <col min="12303" max="12303" width="15.875" style="13" customWidth="1"/>
    <col min="12304" max="12304" width="16.25" style="13" customWidth="1"/>
    <col min="12305" max="12305" width="16.75" style="13" customWidth="1"/>
    <col min="12306" max="12306" width="14.875" style="13" customWidth="1"/>
    <col min="12307" max="12307" width="19.625" style="13" bestFit="1" customWidth="1"/>
    <col min="12308" max="12308" width="21.875" style="13" customWidth="1"/>
    <col min="12309" max="12545" width="11" style="13"/>
    <col min="12546" max="12546" width="51" style="13" customWidth="1"/>
    <col min="12547" max="12547" width="19" style="13" customWidth="1"/>
    <col min="12548" max="12548" width="15.375" style="13" customWidth="1"/>
    <col min="12549" max="12549" width="14.5" style="13" customWidth="1"/>
    <col min="12550" max="12550" width="19.75" style="13" customWidth="1"/>
    <col min="12551" max="12551" width="20.5" style="13" customWidth="1"/>
    <col min="12552" max="12552" width="15.25" style="13" customWidth="1"/>
    <col min="12553" max="12553" width="15.625" style="13" customWidth="1"/>
    <col min="12554" max="12554" width="15.625" style="13" bestFit="1" customWidth="1"/>
    <col min="12555" max="12555" width="14.875" style="13" customWidth="1"/>
    <col min="12556" max="12556" width="15.625" style="13" bestFit="1" customWidth="1"/>
    <col min="12557" max="12557" width="15" style="13" customWidth="1"/>
    <col min="12558" max="12558" width="15.625" style="13" bestFit="1" customWidth="1"/>
    <col min="12559" max="12559" width="15.875" style="13" customWidth="1"/>
    <col min="12560" max="12560" width="16.25" style="13" customWidth="1"/>
    <col min="12561" max="12561" width="16.75" style="13" customWidth="1"/>
    <col min="12562" max="12562" width="14.875" style="13" customWidth="1"/>
    <col min="12563" max="12563" width="19.625" style="13" bestFit="1" customWidth="1"/>
    <col min="12564" max="12564" width="21.875" style="13" customWidth="1"/>
    <col min="12565" max="12801" width="11" style="13"/>
    <col min="12802" max="12802" width="51" style="13" customWidth="1"/>
    <col min="12803" max="12803" width="19" style="13" customWidth="1"/>
    <col min="12804" max="12804" width="15.375" style="13" customWidth="1"/>
    <col min="12805" max="12805" width="14.5" style="13" customWidth="1"/>
    <col min="12806" max="12806" width="19.75" style="13" customWidth="1"/>
    <col min="12807" max="12807" width="20.5" style="13" customWidth="1"/>
    <col min="12808" max="12808" width="15.25" style="13" customWidth="1"/>
    <col min="12809" max="12809" width="15.625" style="13" customWidth="1"/>
    <col min="12810" max="12810" width="15.625" style="13" bestFit="1" customWidth="1"/>
    <col min="12811" max="12811" width="14.875" style="13" customWidth="1"/>
    <col min="12812" max="12812" width="15.625" style="13" bestFit="1" customWidth="1"/>
    <col min="12813" max="12813" width="15" style="13" customWidth="1"/>
    <col min="12814" max="12814" width="15.625" style="13" bestFit="1" customWidth="1"/>
    <col min="12815" max="12815" width="15.875" style="13" customWidth="1"/>
    <col min="12816" max="12816" width="16.25" style="13" customWidth="1"/>
    <col min="12817" max="12817" width="16.75" style="13" customWidth="1"/>
    <col min="12818" max="12818" width="14.875" style="13" customWidth="1"/>
    <col min="12819" max="12819" width="19.625" style="13" bestFit="1" customWidth="1"/>
    <col min="12820" max="12820" width="21.875" style="13" customWidth="1"/>
    <col min="12821" max="13057" width="11" style="13"/>
    <col min="13058" max="13058" width="51" style="13" customWidth="1"/>
    <col min="13059" max="13059" width="19" style="13" customWidth="1"/>
    <col min="13060" max="13060" width="15.375" style="13" customWidth="1"/>
    <col min="13061" max="13061" width="14.5" style="13" customWidth="1"/>
    <col min="13062" max="13062" width="19.75" style="13" customWidth="1"/>
    <col min="13063" max="13063" width="20.5" style="13" customWidth="1"/>
    <col min="13064" max="13064" width="15.25" style="13" customWidth="1"/>
    <col min="13065" max="13065" width="15.625" style="13" customWidth="1"/>
    <col min="13066" max="13066" width="15.625" style="13" bestFit="1" customWidth="1"/>
    <col min="13067" max="13067" width="14.875" style="13" customWidth="1"/>
    <col min="13068" max="13068" width="15.625" style="13" bestFit="1" customWidth="1"/>
    <col min="13069" max="13069" width="15" style="13" customWidth="1"/>
    <col min="13070" max="13070" width="15.625" style="13" bestFit="1" customWidth="1"/>
    <col min="13071" max="13071" width="15.875" style="13" customWidth="1"/>
    <col min="13072" max="13072" width="16.25" style="13" customWidth="1"/>
    <col min="13073" max="13073" width="16.75" style="13" customWidth="1"/>
    <col min="13074" max="13074" width="14.875" style="13" customWidth="1"/>
    <col min="13075" max="13075" width="19.625" style="13" bestFit="1" customWidth="1"/>
    <col min="13076" max="13076" width="21.875" style="13" customWidth="1"/>
    <col min="13077" max="13313" width="11" style="13"/>
    <col min="13314" max="13314" width="51" style="13" customWidth="1"/>
    <col min="13315" max="13315" width="19" style="13" customWidth="1"/>
    <col min="13316" max="13316" width="15.375" style="13" customWidth="1"/>
    <col min="13317" max="13317" width="14.5" style="13" customWidth="1"/>
    <col min="13318" max="13318" width="19.75" style="13" customWidth="1"/>
    <col min="13319" max="13319" width="20.5" style="13" customWidth="1"/>
    <col min="13320" max="13320" width="15.25" style="13" customWidth="1"/>
    <col min="13321" max="13321" width="15.625" style="13" customWidth="1"/>
    <col min="13322" max="13322" width="15.625" style="13" bestFit="1" customWidth="1"/>
    <col min="13323" max="13323" width="14.875" style="13" customWidth="1"/>
    <col min="13324" max="13324" width="15.625" style="13" bestFit="1" customWidth="1"/>
    <col min="13325" max="13325" width="15" style="13" customWidth="1"/>
    <col min="13326" max="13326" width="15.625" style="13" bestFit="1" customWidth="1"/>
    <col min="13327" max="13327" width="15.875" style="13" customWidth="1"/>
    <col min="13328" max="13328" width="16.25" style="13" customWidth="1"/>
    <col min="13329" max="13329" width="16.75" style="13" customWidth="1"/>
    <col min="13330" max="13330" width="14.875" style="13" customWidth="1"/>
    <col min="13331" max="13331" width="19.625" style="13" bestFit="1" customWidth="1"/>
    <col min="13332" max="13332" width="21.875" style="13" customWidth="1"/>
    <col min="13333" max="13569" width="11" style="13"/>
    <col min="13570" max="13570" width="51" style="13" customWidth="1"/>
    <col min="13571" max="13571" width="19" style="13" customWidth="1"/>
    <col min="13572" max="13572" width="15.375" style="13" customWidth="1"/>
    <col min="13573" max="13573" width="14.5" style="13" customWidth="1"/>
    <col min="13574" max="13574" width="19.75" style="13" customWidth="1"/>
    <col min="13575" max="13575" width="20.5" style="13" customWidth="1"/>
    <col min="13576" max="13576" width="15.25" style="13" customWidth="1"/>
    <col min="13577" max="13577" width="15.625" style="13" customWidth="1"/>
    <col min="13578" max="13578" width="15.625" style="13" bestFit="1" customWidth="1"/>
    <col min="13579" max="13579" width="14.875" style="13" customWidth="1"/>
    <col min="13580" max="13580" width="15.625" style="13" bestFit="1" customWidth="1"/>
    <col min="13581" max="13581" width="15" style="13" customWidth="1"/>
    <col min="13582" max="13582" width="15.625" style="13" bestFit="1" customWidth="1"/>
    <col min="13583" max="13583" width="15.875" style="13" customWidth="1"/>
    <col min="13584" max="13584" width="16.25" style="13" customWidth="1"/>
    <col min="13585" max="13585" width="16.75" style="13" customWidth="1"/>
    <col min="13586" max="13586" width="14.875" style="13" customWidth="1"/>
    <col min="13587" max="13587" width="19.625" style="13" bestFit="1" customWidth="1"/>
    <col min="13588" max="13588" width="21.875" style="13" customWidth="1"/>
    <col min="13589" max="13825" width="11" style="13"/>
    <col min="13826" max="13826" width="51" style="13" customWidth="1"/>
    <col min="13827" max="13827" width="19" style="13" customWidth="1"/>
    <col min="13828" max="13828" width="15.375" style="13" customWidth="1"/>
    <col min="13829" max="13829" width="14.5" style="13" customWidth="1"/>
    <col min="13830" max="13830" width="19.75" style="13" customWidth="1"/>
    <col min="13831" max="13831" width="20.5" style="13" customWidth="1"/>
    <col min="13832" max="13832" width="15.25" style="13" customWidth="1"/>
    <col min="13833" max="13833" width="15.625" style="13" customWidth="1"/>
    <col min="13834" max="13834" width="15.625" style="13" bestFit="1" customWidth="1"/>
    <col min="13835" max="13835" width="14.875" style="13" customWidth="1"/>
    <col min="13836" max="13836" width="15.625" style="13" bestFit="1" customWidth="1"/>
    <col min="13837" max="13837" width="15" style="13" customWidth="1"/>
    <col min="13838" max="13838" width="15.625" style="13" bestFit="1" customWidth="1"/>
    <col min="13839" max="13839" width="15.875" style="13" customWidth="1"/>
    <col min="13840" max="13840" width="16.25" style="13" customWidth="1"/>
    <col min="13841" max="13841" width="16.75" style="13" customWidth="1"/>
    <col min="13842" max="13842" width="14.875" style="13" customWidth="1"/>
    <col min="13843" max="13843" width="19.625" style="13" bestFit="1" customWidth="1"/>
    <col min="13844" max="13844" width="21.875" style="13" customWidth="1"/>
    <col min="13845" max="14081" width="11" style="13"/>
    <col min="14082" max="14082" width="51" style="13" customWidth="1"/>
    <col min="14083" max="14083" width="19" style="13" customWidth="1"/>
    <col min="14084" max="14084" width="15.375" style="13" customWidth="1"/>
    <col min="14085" max="14085" width="14.5" style="13" customWidth="1"/>
    <col min="14086" max="14086" width="19.75" style="13" customWidth="1"/>
    <col min="14087" max="14087" width="20.5" style="13" customWidth="1"/>
    <col min="14088" max="14088" width="15.25" style="13" customWidth="1"/>
    <col min="14089" max="14089" width="15.625" style="13" customWidth="1"/>
    <col min="14090" max="14090" width="15.625" style="13" bestFit="1" customWidth="1"/>
    <col min="14091" max="14091" width="14.875" style="13" customWidth="1"/>
    <col min="14092" max="14092" width="15.625" style="13" bestFit="1" customWidth="1"/>
    <col min="14093" max="14093" width="15" style="13" customWidth="1"/>
    <col min="14094" max="14094" width="15.625" style="13" bestFit="1" customWidth="1"/>
    <col min="14095" max="14095" width="15.875" style="13" customWidth="1"/>
    <col min="14096" max="14096" width="16.25" style="13" customWidth="1"/>
    <col min="14097" max="14097" width="16.75" style="13" customWidth="1"/>
    <col min="14098" max="14098" width="14.875" style="13" customWidth="1"/>
    <col min="14099" max="14099" width="19.625" style="13" bestFit="1" customWidth="1"/>
    <col min="14100" max="14100" width="21.875" style="13" customWidth="1"/>
    <col min="14101" max="14337" width="11" style="13"/>
    <col min="14338" max="14338" width="51" style="13" customWidth="1"/>
    <col min="14339" max="14339" width="19" style="13" customWidth="1"/>
    <col min="14340" max="14340" width="15.375" style="13" customWidth="1"/>
    <col min="14341" max="14341" width="14.5" style="13" customWidth="1"/>
    <col min="14342" max="14342" width="19.75" style="13" customWidth="1"/>
    <col min="14343" max="14343" width="20.5" style="13" customWidth="1"/>
    <col min="14344" max="14344" width="15.25" style="13" customWidth="1"/>
    <col min="14345" max="14345" width="15.625" style="13" customWidth="1"/>
    <col min="14346" max="14346" width="15.625" style="13" bestFit="1" customWidth="1"/>
    <col min="14347" max="14347" width="14.875" style="13" customWidth="1"/>
    <col min="14348" max="14348" width="15.625" style="13" bestFit="1" customWidth="1"/>
    <col min="14349" max="14349" width="15" style="13" customWidth="1"/>
    <col min="14350" max="14350" width="15.625" style="13" bestFit="1" customWidth="1"/>
    <col min="14351" max="14351" width="15.875" style="13" customWidth="1"/>
    <col min="14352" max="14352" width="16.25" style="13" customWidth="1"/>
    <col min="14353" max="14353" width="16.75" style="13" customWidth="1"/>
    <col min="14354" max="14354" width="14.875" style="13" customWidth="1"/>
    <col min="14355" max="14355" width="19.625" style="13" bestFit="1" customWidth="1"/>
    <col min="14356" max="14356" width="21.875" style="13" customWidth="1"/>
    <col min="14357" max="14593" width="11" style="13"/>
    <col min="14594" max="14594" width="51" style="13" customWidth="1"/>
    <col min="14595" max="14595" width="19" style="13" customWidth="1"/>
    <col min="14596" max="14596" width="15.375" style="13" customWidth="1"/>
    <col min="14597" max="14597" width="14.5" style="13" customWidth="1"/>
    <col min="14598" max="14598" width="19.75" style="13" customWidth="1"/>
    <col min="14599" max="14599" width="20.5" style="13" customWidth="1"/>
    <col min="14600" max="14600" width="15.25" style="13" customWidth="1"/>
    <col min="14601" max="14601" width="15.625" style="13" customWidth="1"/>
    <col min="14602" max="14602" width="15.625" style="13" bestFit="1" customWidth="1"/>
    <col min="14603" max="14603" width="14.875" style="13" customWidth="1"/>
    <col min="14604" max="14604" width="15.625" style="13" bestFit="1" customWidth="1"/>
    <col min="14605" max="14605" width="15" style="13" customWidth="1"/>
    <col min="14606" max="14606" width="15.625" style="13" bestFit="1" customWidth="1"/>
    <col min="14607" max="14607" width="15.875" style="13" customWidth="1"/>
    <col min="14608" max="14608" width="16.25" style="13" customWidth="1"/>
    <col min="14609" max="14609" width="16.75" style="13" customWidth="1"/>
    <col min="14610" max="14610" width="14.875" style="13" customWidth="1"/>
    <col min="14611" max="14611" width="19.625" style="13" bestFit="1" customWidth="1"/>
    <col min="14612" max="14612" width="21.875" style="13" customWidth="1"/>
    <col min="14613" max="14849" width="11" style="13"/>
    <col min="14850" max="14850" width="51" style="13" customWidth="1"/>
    <col min="14851" max="14851" width="19" style="13" customWidth="1"/>
    <col min="14852" max="14852" width="15.375" style="13" customWidth="1"/>
    <col min="14853" max="14853" width="14.5" style="13" customWidth="1"/>
    <col min="14854" max="14854" width="19.75" style="13" customWidth="1"/>
    <col min="14855" max="14855" width="20.5" style="13" customWidth="1"/>
    <col min="14856" max="14856" width="15.25" style="13" customWidth="1"/>
    <col min="14857" max="14857" width="15.625" style="13" customWidth="1"/>
    <col min="14858" max="14858" width="15.625" style="13" bestFit="1" customWidth="1"/>
    <col min="14859" max="14859" width="14.875" style="13" customWidth="1"/>
    <col min="14860" max="14860" width="15.625" style="13" bestFit="1" customWidth="1"/>
    <col min="14861" max="14861" width="15" style="13" customWidth="1"/>
    <col min="14862" max="14862" width="15.625" style="13" bestFit="1" customWidth="1"/>
    <col min="14863" max="14863" width="15.875" style="13" customWidth="1"/>
    <col min="14864" max="14864" width="16.25" style="13" customWidth="1"/>
    <col min="14865" max="14865" width="16.75" style="13" customWidth="1"/>
    <col min="14866" max="14866" width="14.875" style="13" customWidth="1"/>
    <col min="14867" max="14867" width="19.625" style="13" bestFit="1" customWidth="1"/>
    <col min="14868" max="14868" width="21.875" style="13" customWidth="1"/>
    <col min="14869" max="15105" width="11" style="13"/>
    <col min="15106" max="15106" width="51" style="13" customWidth="1"/>
    <col min="15107" max="15107" width="19" style="13" customWidth="1"/>
    <col min="15108" max="15108" width="15.375" style="13" customWidth="1"/>
    <col min="15109" max="15109" width="14.5" style="13" customWidth="1"/>
    <col min="15110" max="15110" width="19.75" style="13" customWidth="1"/>
    <col min="15111" max="15111" width="20.5" style="13" customWidth="1"/>
    <col min="15112" max="15112" width="15.25" style="13" customWidth="1"/>
    <col min="15113" max="15113" width="15.625" style="13" customWidth="1"/>
    <col min="15114" max="15114" width="15.625" style="13" bestFit="1" customWidth="1"/>
    <col min="15115" max="15115" width="14.875" style="13" customWidth="1"/>
    <col min="15116" max="15116" width="15.625" style="13" bestFit="1" customWidth="1"/>
    <col min="15117" max="15117" width="15" style="13" customWidth="1"/>
    <col min="15118" max="15118" width="15.625" style="13" bestFit="1" customWidth="1"/>
    <col min="15119" max="15119" width="15.875" style="13" customWidth="1"/>
    <col min="15120" max="15120" width="16.25" style="13" customWidth="1"/>
    <col min="15121" max="15121" width="16.75" style="13" customWidth="1"/>
    <col min="15122" max="15122" width="14.875" style="13" customWidth="1"/>
    <col min="15123" max="15123" width="19.625" style="13" bestFit="1" customWidth="1"/>
    <col min="15124" max="15124" width="21.875" style="13" customWidth="1"/>
    <col min="15125" max="15361" width="11" style="13"/>
    <col min="15362" max="15362" width="51" style="13" customWidth="1"/>
    <col min="15363" max="15363" width="19" style="13" customWidth="1"/>
    <col min="15364" max="15364" width="15.375" style="13" customWidth="1"/>
    <col min="15365" max="15365" width="14.5" style="13" customWidth="1"/>
    <col min="15366" max="15366" width="19.75" style="13" customWidth="1"/>
    <col min="15367" max="15367" width="20.5" style="13" customWidth="1"/>
    <col min="15368" max="15368" width="15.25" style="13" customWidth="1"/>
    <col min="15369" max="15369" width="15.625" style="13" customWidth="1"/>
    <col min="15370" max="15370" width="15.625" style="13" bestFit="1" customWidth="1"/>
    <col min="15371" max="15371" width="14.875" style="13" customWidth="1"/>
    <col min="15372" max="15372" width="15.625" style="13" bestFit="1" customWidth="1"/>
    <col min="15373" max="15373" width="15" style="13" customWidth="1"/>
    <col min="15374" max="15374" width="15.625" style="13" bestFit="1" customWidth="1"/>
    <col min="15375" max="15375" width="15.875" style="13" customWidth="1"/>
    <col min="15376" max="15376" width="16.25" style="13" customWidth="1"/>
    <col min="15377" max="15377" width="16.75" style="13" customWidth="1"/>
    <col min="15378" max="15378" width="14.875" style="13" customWidth="1"/>
    <col min="15379" max="15379" width="19.625" style="13" bestFit="1" customWidth="1"/>
    <col min="15380" max="15380" width="21.875" style="13" customWidth="1"/>
    <col min="15381" max="15617" width="11" style="13"/>
    <col min="15618" max="15618" width="51" style="13" customWidth="1"/>
    <col min="15619" max="15619" width="19" style="13" customWidth="1"/>
    <col min="15620" max="15620" width="15.375" style="13" customWidth="1"/>
    <col min="15621" max="15621" width="14.5" style="13" customWidth="1"/>
    <col min="15622" max="15622" width="19.75" style="13" customWidth="1"/>
    <col min="15623" max="15623" width="20.5" style="13" customWidth="1"/>
    <col min="15624" max="15624" width="15.25" style="13" customWidth="1"/>
    <col min="15625" max="15625" width="15.625" style="13" customWidth="1"/>
    <col min="15626" max="15626" width="15.625" style="13" bestFit="1" customWidth="1"/>
    <col min="15627" max="15627" width="14.875" style="13" customWidth="1"/>
    <col min="15628" max="15628" width="15.625" style="13" bestFit="1" customWidth="1"/>
    <col min="15629" max="15629" width="15" style="13" customWidth="1"/>
    <col min="15630" max="15630" width="15.625" style="13" bestFit="1" customWidth="1"/>
    <col min="15631" max="15631" width="15.875" style="13" customWidth="1"/>
    <col min="15632" max="15632" width="16.25" style="13" customWidth="1"/>
    <col min="15633" max="15633" width="16.75" style="13" customWidth="1"/>
    <col min="15634" max="15634" width="14.875" style="13" customWidth="1"/>
    <col min="15635" max="15635" width="19.625" style="13" bestFit="1" customWidth="1"/>
    <col min="15636" max="15636" width="21.875" style="13" customWidth="1"/>
    <col min="15637" max="15873" width="11" style="13"/>
    <col min="15874" max="15874" width="51" style="13" customWidth="1"/>
    <col min="15875" max="15875" width="19" style="13" customWidth="1"/>
    <col min="15876" max="15876" width="15.375" style="13" customWidth="1"/>
    <col min="15877" max="15877" width="14.5" style="13" customWidth="1"/>
    <col min="15878" max="15878" width="19.75" style="13" customWidth="1"/>
    <col min="15879" max="15879" width="20.5" style="13" customWidth="1"/>
    <col min="15880" max="15880" width="15.25" style="13" customWidth="1"/>
    <col min="15881" max="15881" width="15.625" style="13" customWidth="1"/>
    <col min="15882" max="15882" width="15.625" style="13" bestFit="1" customWidth="1"/>
    <col min="15883" max="15883" width="14.875" style="13" customWidth="1"/>
    <col min="15884" max="15884" width="15.625" style="13" bestFit="1" customWidth="1"/>
    <col min="15885" max="15885" width="15" style="13" customWidth="1"/>
    <col min="15886" max="15886" width="15.625" style="13" bestFit="1" customWidth="1"/>
    <col min="15887" max="15887" width="15.875" style="13" customWidth="1"/>
    <col min="15888" max="15888" width="16.25" style="13" customWidth="1"/>
    <col min="15889" max="15889" width="16.75" style="13" customWidth="1"/>
    <col min="15890" max="15890" width="14.875" style="13" customWidth="1"/>
    <col min="15891" max="15891" width="19.625" style="13" bestFit="1" customWidth="1"/>
    <col min="15892" max="15892" width="21.875" style="13" customWidth="1"/>
    <col min="15893" max="16129" width="11" style="13"/>
    <col min="16130" max="16130" width="51" style="13" customWidth="1"/>
    <col min="16131" max="16131" width="19" style="13" customWidth="1"/>
    <col min="16132" max="16132" width="15.375" style="13" customWidth="1"/>
    <col min="16133" max="16133" width="14.5" style="13" customWidth="1"/>
    <col min="16134" max="16134" width="19.75" style="13" customWidth="1"/>
    <col min="16135" max="16135" width="20.5" style="13" customWidth="1"/>
    <col min="16136" max="16136" width="15.25" style="13" customWidth="1"/>
    <col min="16137" max="16137" width="15.625" style="13" customWidth="1"/>
    <col min="16138" max="16138" width="15.625" style="13" bestFit="1" customWidth="1"/>
    <col min="16139" max="16139" width="14.875" style="13" customWidth="1"/>
    <col min="16140" max="16140" width="15.625" style="13" bestFit="1" customWidth="1"/>
    <col min="16141" max="16141" width="15" style="13" customWidth="1"/>
    <col min="16142" max="16142" width="15.625" style="13" bestFit="1" customWidth="1"/>
    <col min="16143" max="16143" width="15.875" style="13" customWidth="1"/>
    <col min="16144" max="16144" width="16.25" style="13" customWidth="1"/>
    <col min="16145" max="16145" width="16.75" style="13" customWidth="1"/>
    <col min="16146" max="16146" width="14.875" style="13" customWidth="1"/>
    <col min="16147" max="16147" width="19.625" style="13" bestFit="1" customWidth="1"/>
    <col min="16148" max="16148" width="21.875" style="13" customWidth="1"/>
    <col min="16149" max="16384" width="11" style="13"/>
  </cols>
  <sheetData>
    <row r="1" spans="1:22"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2">
      <c r="B2" s="669" t="s">
        <v>0</v>
      </c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1"/>
      <c r="U2" s="609"/>
    </row>
    <row r="3" spans="1:22">
      <c r="B3" s="669" t="s">
        <v>175</v>
      </c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1"/>
      <c r="U3" s="609"/>
    </row>
    <row r="4" spans="1:22" ht="13.5" thickBot="1">
      <c r="B4" s="672" t="s">
        <v>98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4"/>
      <c r="U4" s="609"/>
    </row>
    <row r="5" spans="1:22">
      <c r="A5" s="421"/>
      <c r="B5" s="80" t="s">
        <v>99</v>
      </c>
      <c r="C5" s="80" t="s">
        <v>100</v>
      </c>
      <c r="D5" s="81"/>
      <c r="E5" s="82" t="s">
        <v>101</v>
      </c>
      <c r="F5" s="81" t="s">
        <v>102</v>
      </c>
      <c r="G5" s="82" t="s">
        <v>103</v>
      </c>
      <c r="H5" s="81" t="s">
        <v>104</v>
      </c>
      <c r="I5" s="82" t="s">
        <v>105</v>
      </c>
      <c r="J5" s="81" t="s">
        <v>106</v>
      </c>
      <c r="K5" s="82" t="s">
        <v>107</v>
      </c>
      <c r="L5" s="81" t="s">
        <v>108</v>
      </c>
      <c r="M5" s="82" t="s">
        <v>109</v>
      </c>
      <c r="N5" s="81" t="s">
        <v>110</v>
      </c>
      <c r="O5" s="82" t="s">
        <v>111</v>
      </c>
      <c r="P5" s="81" t="s">
        <v>112</v>
      </c>
      <c r="Q5" s="82" t="s">
        <v>113</v>
      </c>
      <c r="R5" s="81" t="s">
        <v>114</v>
      </c>
      <c r="S5" s="82" t="s">
        <v>115</v>
      </c>
      <c r="T5" s="81" t="s">
        <v>116</v>
      </c>
    </row>
    <row r="6" spans="1:22" ht="13.5" thickBot="1">
      <c r="A6" s="421"/>
      <c r="B6" s="83"/>
      <c r="C6" s="84" t="s">
        <v>3</v>
      </c>
      <c r="D6" s="85"/>
      <c r="E6" s="86"/>
      <c r="F6" s="85" t="s">
        <v>117</v>
      </c>
      <c r="G6" s="87" t="s">
        <v>118</v>
      </c>
      <c r="H6" s="88"/>
      <c r="I6" s="89"/>
      <c r="J6" s="88"/>
      <c r="K6" s="89"/>
      <c r="L6" s="88"/>
      <c r="M6" s="89"/>
      <c r="N6" s="88"/>
      <c r="O6" s="89"/>
      <c r="P6" s="88"/>
      <c r="Q6" s="89"/>
      <c r="R6" s="88"/>
      <c r="S6" s="89"/>
      <c r="T6" s="88"/>
    </row>
    <row r="7" spans="1:22">
      <c r="A7" s="421"/>
      <c r="B7" s="16"/>
      <c r="C7" s="17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9"/>
    </row>
    <row r="8" spans="1:22">
      <c r="A8" s="421"/>
      <c r="B8" s="99" t="s">
        <v>119</v>
      </c>
      <c r="C8" s="23">
        <v>1155126065</v>
      </c>
      <c r="D8" s="20"/>
      <c r="E8" s="21"/>
      <c r="F8" s="21"/>
      <c r="G8" s="24">
        <f>E8-F8+C8</f>
        <v>1155126065</v>
      </c>
      <c r="H8" s="21">
        <v>0</v>
      </c>
      <c r="I8" s="21">
        <v>165126065</v>
      </c>
      <c r="J8" s="21">
        <v>180000000</v>
      </c>
      <c r="K8" s="21">
        <v>90000000</v>
      </c>
      <c r="L8" s="21">
        <v>90000000</v>
      </c>
      <c r="M8" s="21">
        <v>90000000</v>
      </c>
      <c r="N8" s="21"/>
      <c r="O8" s="21">
        <v>180000000</v>
      </c>
      <c r="P8" s="21">
        <v>0</v>
      </c>
      <c r="Q8" s="21">
        <v>180000000</v>
      </c>
      <c r="R8" s="21">
        <v>90000000</v>
      </c>
      <c r="S8" s="21">
        <v>90000000</v>
      </c>
      <c r="T8" s="25">
        <f>H8+I8+J8+K8+L8+M8+N8+O8+P8+Q8+R8+S8</f>
        <v>1155126065</v>
      </c>
      <c r="U8" s="610">
        <f>G8-T8</f>
        <v>0</v>
      </c>
    </row>
    <row r="9" spans="1:22">
      <c r="A9" s="421"/>
      <c r="B9" s="99" t="s">
        <v>120</v>
      </c>
      <c r="C9" s="27">
        <v>0</v>
      </c>
      <c r="D9" s="20"/>
      <c r="E9" s="123">
        <v>64258244</v>
      </c>
      <c r="F9" s="21">
        <v>0</v>
      </c>
      <c r="G9" s="21">
        <f>E9-F9</f>
        <v>64258244</v>
      </c>
      <c r="H9" s="21"/>
      <c r="I9" s="21"/>
      <c r="J9" s="21"/>
      <c r="K9" s="21"/>
      <c r="L9" s="21"/>
      <c r="M9" s="585">
        <v>29258244</v>
      </c>
      <c r="N9" s="21"/>
      <c r="O9" s="21">
        <v>10000000</v>
      </c>
      <c r="P9" s="21">
        <v>0</v>
      </c>
      <c r="Q9" s="21">
        <v>10000000</v>
      </c>
      <c r="R9" s="21">
        <v>10000000</v>
      </c>
      <c r="S9" s="21">
        <v>5000000</v>
      </c>
      <c r="T9" s="22">
        <f>H9+I9+J9+K9+L9+M9+N9+O9+P9+Q9+R9+S9</f>
        <v>64258244</v>
      </c>
      <c r="U9" s="610">
        <f>G9-T9</f>
        <v>0</v>
      </c>
    </row>
    <row r="10" spans="1:22">
      <c r="A10" s="421"/>
      <c r="B10" s="99" t="s">
        <v>121</v>
      </c>
      <c r="C10" s="27">
        <v>0</v>
      </c>
      <c r="D10" s="20"/>
      <c r="E10" s="123">
        <v>5422821</v>
      </c>
      <c r="F10" s="21">
        <v>0</v>
      </c>
      <c r="G10" s="21">
        <f>E10-F10</f>
        <v>5422821</v>
      </c>
      <c r="H10" s="21"/>
      <c r="I10" s="21"/>
      <c r="J10" s="21"/>
      <c r="K10" s="21"/>
      <c r="L10" s="21"/>
      <c r="M10" s="585">
        <v>5422821</v>
      </c>
      <c r="N10" s="21"/>
      <c r="O10" s="21"/>
      <c r="P10" s="21">
        <v>0</v>
      </c>
      <c r="Q10" s="21"/>
      <c r="R10" s="21">
        <v>0</v>
      </c>
      <c r="S10" s="21">
        <v>0</v>
      </c>
      <c r="T10" s="22">
        <f>H10+I10+J10+K10+L10+M10+N10+O10+P10+Q10+R10+S10</f>
        <v>5422821</v>
      </c>
      <c r="U10" s="610">
        <f>G10-T10</f>
        <v>0</v>
      </c>
    </row>
    <row r="11" spans="1:22">
      <c r="A11" s="421"/>
      <c r="B11" s="99" t="s">
        <v>122</v>
      </c>
      <c r="C11" s="27">
        <v>0</v>
      </c>
      <c r="D11" s="20"/>
      <c r="E11" s="123">
        <v>65932447</v>
      </c>
      <c r="F11" s="21">
        <v>0</v>
      </c>
      <c r="G11" s="21">
        <f>E11-F11</f>
        <v>65932447</v>
      </c>
      <c r="H11" s="21"/>
      <c r="I11" s="21"/>
      <c r="J11" s="21"/>
      <c r="K11" s="21"/>
      <c r="L11" s="21"/>
      <c r="M11" s="586">
        <v>29532447</v>
      </c>
      <c r="N11" s="21"/>
      <c r="O11" s="21">
        <v>10400000</v>
      </c>
      <c r="P11" s="21">
        <v>0</v>
      </c>
      <c r="Q11" s="21">
        <v>10400000</v>
      </c>
      <c r="R11" s="21">
        <v>10400000</v>
      </c>
      <c r="S11" s="21">
        <v>5200000</v>
      </c>
      <c r="T11" s="22">
        <f>H11+I11+J11+K11+L11+M11+N11+O11+P11+Q11+R11+S11</f>
        <v>65932447</v>
      </c>
      <c r="U11" s="610">
        <f>G11-T11</f>
        <v>0</v>
      </c>
    </row>
    <row r="12" spans="1:22">
      <c r="A12" s="421"/>
      <c r="B12" s="99" t="s">
        <v>123</v>
      </c>
      <c r="C12" s="27">
        <v>0</v>
      </c>
      <c r="D12" s="20"/>
      <c r="E12" s="123">
        <v>31630654</v>
      </c>
      <c r="F12" s="21">
        <v>0</v>
      </c>
      <c r="G12" s="21">
        <f>E12-F12</f>
        <v>31630654</v>
      </c>
      <c r="H12" s="21"/>
      <c r="I12" s="21"/>
      <c r="J12" s="21"/>
      <c r="K12" s="21"/>
      <c r="L12" s="21"/>
      <c r="M12" s="587">
        <v>13430654</v>
      </c>
      <c r="N12" s="21">
        <v>0</v>
      </c>
      <c r="O12" s="21">
        <v>5200000</v>
      </c>
      <c r="P12" s="21">
        <v>0</v>
      </c>
      <c r="Q12" s="21">
        <v>5200000</v>
      </c>
      <c r="R12" s="21">
        <v>5200000</v>
      </c>
      <c r="S12" s="21">
        <v>2600000</v>
      </c>
      <c r="T12" s="22">
        <f>H12+I12+J12+K12+L12+M12+N12+O12+P12+Q12+R12+S12</f>
        <v>31630654</v>
      </c>
      <c r="U12" s="610">
        <f>G12-T12</f>
        <v>0</v>
      </c>
    </row>
    <row r="13" spans="1:22" s="174" customFormat="1">
      <c r="A13" s="605"/>
      <c r="B13" s="90" t="s">
        <v>218</v>
      </c>
      <c r="C13" s="91">
        <f>+C8+C9+C10+C11</f>
        <v>1155126065</v>
      </c>
      <c r="D13" s="606"/>
      <c r="E13" s="96"/>
      <c r="F13" s="96">
        <v>0</v>
      </c>
      <c r="G13" s="97">
        <f>G12+G11+G10+G9+G8</f>
        <v>1322370231</v>
      </c>
      <c r="H13" s="96">
        <f>H8+H11+H12</f>
        <v>0</v>
      </c>
      <c r="I13" s="96">
        <f>I8+I11+I12</f>
        <v>165126065</v>
      </c>
      <c r="J13" s="96">
        <f>J8+J11+J12</f>
        <v>180000000</v>
      </c>
      <c r="K13" s="96">
        <f>K8+K11+K12</f>
        <v>90000000</v>
      </c>
      <c r="L13" s="96">
        <f>L8+L11+L12</f>
        <v>90000000</v>
      </c>
      <c r="M13" s="96">
        <f>M8+M9+M10+M11+M12</f>
        <v>167644166</v>
      </c>
      <c r="N13" s="96">
        <f t="shared" ref="N13:T13" si="0">N8+N9+N10+N11+N12</f>
        <v>0</v>
      </c>
      <c r="O13" s="96">
        <f t="shared" si="0"/>
        <v>205600000</v>
      </c>
      <c r="P13" s="96">
        <f t="shared" si="0"/>
        <v>0</v>
      </c>
      <c r="Q13" s="96">
        <f t="shared" si="0"/>
        <v>205600000</v>
      </c>
      <c r="R13" s="96">
        <f t="shared" si="0"/>
        <v>115600000</v>
      </c>
      <c r="S13" s="97">
        <f t="shared" si="0"/>
        <v>102800000</v>
      </c>
      <c r="T13" s="98">
        <f t="shared" si="0"/>
        <v>1322370231</v>
      </c>
      <c r="U13" s="611"/>
      <c r="V13" s="607"/>
    </row>
    <row r="14" spans="1:22" hidden="1">
      <c r="A14" s="421"/>
      <c r="B14" s="99" t="s">
        <v>124</v>
      </c>
      <c r="C14" s="27">
        <v>0</v>
      </c>
      <c r="D14" s="20"/>
      <c r="E14" s="21"/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2">
        <v>0</v>
      </c>
      <c r="V14" s="26"/>
    </row>
    <row r="15" spans="1:22" hidden="1">
      <c r="A15" s="421"/>
      <c r="B15" s="99" t="s">
        <v>125</v>
      </c>
      <c r="C15" s="27">
        <v>0</v>
      </c>
      <c r="D15" s="20"/>
      <c r="E15" s="21"/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2">
        <v>0</v>
      </c>
      <c r="V15" s="26"/>
    </row>
    <row r="16" spans="1:22" hidden="1">
      <c r="A16" s="421"/>
      <c r="B16" s="90" t="s">
        <v>126</v>
      </c>
      <c r="C16" s="91">
        <f>+C13</f>
        <v>1155126065</v>
      </c>
      <c r="D16" s="92"/>
      <c r="E16" s="96">
        <f>E8+E9+E10+E11+E12</f>
        <v>167244166</v>
      </c>
      <c r="F16" s="93">
        <v>0</v>
      </c>
      <c r="G16" s="97">
        <f>+G13</f>
        <v>1322370231</v>
      </c>
      <c r="H16" s="96">
        <f>H8+H11+H12</f>
        <v>0</v>
      </c>
      <c r="I16" s="96">
        <f>I8+I11+I12</f>
        <v>165126065</v>
      </c>
      <c r="J16" s="96">
        <f t="shared" ref="J16:R16" si="1">+J13</f>
        <v>180000000</v>
      </c>
      <c r="K16" s="96">
        <f t="shared" si="1"/>
        <v>90000000</v>
      </c>
      <c r="L16" s="96">
        <f t="shared" si="1"/>
        <v>90000000</v>
      </c>
      <c r="M16" s="96">
        <f t="shared" si="1"/>
        <v>167644166</v>
      </c>
      <c r="N16" s="96">
        <f t="shared" si="1"/>
        <v>0</v>
      </c>
      <c r="O16" s="96">
        <f t="shared" si="1"/>
        <v>205600000</v>
      </c>
      <c r="P16" s="96">
        <f t="shared" si="1"/>
        <v>0</v>
      </c>
      <c r="Q16" s="96">
        <f t="shared" si="1"/>
        <v>205600000</v>
      </c>
      <c r="R16" s="96">
        <f t="shared" si="1"/>
        <v>115600000</v>
      </c>
      <c r="S16" s="97">
        <f>S13</f>
        <v>102800000</v>
      </c>
      <c r="T16" s="98">
        <f>H16+I16+J16+K16+L16+M16+N16+O16+P16+Q16+R16+S16</f>
        <v>1322370231</v>
      </c>
    </row>
    <row r="17" spans="1:22" ht="13.5" thickBot="1">
      <c r="A17" s="421"/>
      <c r="B17" s="29"/>
      <c r="C17" s="30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</row>
    <row r="18" spans="1:22" ht="8.25" customHeight="1">
      <c r="A18" s="421"/>
      <c r="B18" s="14"/>
      <c r="C18" s="34"/>
      <c r="D18" s="35"/>
      <c r="E18" s="34"/>
      <c r="F18" s="34"/>
      <c r="G18" s="34"/>
      <c r="H18" s="34"/>
      <c r="I18" s="34"/>
      <c r="J18" s="15"/>
      <c r="K18" s="15"/>
      <c r="L18" s="15"/>
      <c r="M18" s="15"/>
      <c r="N18" s="15"/>
      <c r="O18" s="15"/>
      <c r="P18" s="34"/>
      <c r="Q18" s="34"/>
      <c r="R18" s="34"/>
      <c r="S18" s="34"/>
      <c r="T18" s="36" t="s">
        <v>117</v>
      </c>
      <c r="V18" s="26"/>
    </row>
    <row r="19" spans="1:22">
      <c r="B19" s="14"/>
      <c r="C19" s="34"/>
      <c r="D19" s="35"/>
      <c r="E19" s="34"/>
      <c r="F19" s="37"/>
      <c r="G19" s="34"/>
      <c r="H19" s="34"/>
      <c r="I19" s="34"/>
      <c r="J19" s="15" t="s">
        <v>176</v>
      </c>
      <c r="K19" s="15"/>
      <c r="L19" s="15"/>
      <c r="M19" s="15"/>
      <c r="N19" s="15"/>
      <c r="O19" s="12"/>
      <c r="P19" s="34"/>
      <c r="Q19" s="34"/>
      <c r="R19" s="34"/>
      <c r="S19" s="34"/>
      <c r="T19" s="36"/>
      <c r="V19" s="26"/>
    </row>
    <row r="20" spans="1:22" ht="9.75" customHeight="1" thickBot="1">
      <c r="B20" s="35"/>
      <c r="C20" s="34"/>
      <c r="D20" s="35"/>
      <c r="E20" s="34"/>
      <c r="F20" s="34"/>
      <c r="G20" s="34"/>
      <c r="H20" s="34"/>
      <c r="I20" s="34"/>
      <c r="J20" s="15"/>
      <c r="K20" s="15"/>
      <c r="L20" s="15"/>
      <c r="M20" s="15"/>
      <c r="N20" s="15"/>
      <c r="O20" s="15"/>
      <c r="P20" s="34"/>
      <c r="Q20" s="34"/>
      <c r="R20" s="34"/>
      <c r="S20" s="34"/>
      <c r="T20" s="36"/>
    </row>
    <row r="21" spans="1:22">
      <c r="A21" s="675" t="s">
        <v>257</v>
      </c>
      <c r="B21" s="677" t="s">
        <v>1</v>
      </c>
      <c r="C21" s="69" t="s">
        <v>127</v>
      </c>
      <c r="D21" s="70" t="s">
        <v>101</v>
      </c>
      <c r="E21" s="71" t="s">
        <v>2</v>
      </c>
      <c r="F21" s="70" t="s">
        <v>128</v>
      </c>
      <c r="G21" s="71" t="s">
        <v>129</v>
      </c>
      <c r="H21" s="70" t="s">
        <v>104</v>
      </c>
      <c r="I21" s="70" t="s">
        <v>105</v>
      </c>
      <c r="J21" s="71" t="s">
        <v>106</v>
      </c>
      <c r="K21" s="70" t="s">
        <v>107</v>
      </c>
      <c r="L21" s="71" t="s">
        <v>108</v>
      </c>
      <c r="M21" s="70" t="s">
        <v>109</v>
      </c>
      <c r="N21" s="71" t="s">
        <v>110</v>
      </c>
      <c r="O21" s="70" t="s">
        <v>111</v>
      </c>
      <c r="P21" s="71" t="s">
        <v>112</v>
      </c>
      <c r="Q21" s="70" t="s">
        <v>113</v>
      </c>
      <c r="R21" s="71" t="s">
        <v>114</v>
      </c>
      <c r="S21" s="70" t="s">
        <v>115</v>
      </c>
      <c r="T21" s="72" t="s">
        <v>116</v>
      </c>
      <c r="V21" s="26"/>
    </row>
    <row r="22" spans="1:22" ht="15" customHeight="1" thickBot="1">
      <c r="A22" s="676"/>
      <c r="B22" s="678"/>
      <c r="C22" s="74" t="s">
        <v>3</v>
      </c>
      <c r="D22" s="75"/>
      <c r="E22" s="76"/>
      <c r="F22" s="77"/>
      <c r="G22" s="78" t="s">
        <v>118</v>
      </c>
      <c r="H22" s="77"/>
      <c r="I22" s="77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9"/>
      <c r="V22" s="26"/>
    </row>
    <row r="23" spans="1:22" ht="19.5" customHeight="1">
      <c r="A23" s="596">
        <v>2021101</v>
      </c>
      <c r="B23" s="591" t="s">
        <v>5</v>
      </c>
      <c r="C23" s="62">
        <f t="shared" ref="C23:T23" si="2">SUM(C24:C32)</f>
        <v>650377324</v>
      </c>
      <c r="D23" s="63">
        <f t="shared" si="2"/>
        <v>167244166</v>
      </c>
      <c r="E23" s="64">
        <f t="shared" si="2"/>
        <v>0</v>
      </c>
      <c r="F23" s="64">
        <f t="shared" si="2"/>
        <v>75000000</v>
      </c>
      <c r="G23" s="64">
        <f t="shared" si="2"/>
        <v>742621490</v>
      </c>
      <c r="H23" s="64">
        <f t="shared" si="2"/>
        <v>35018214</v>
      </c>
      <c r="I23" s="64">
        <f t="shared" si="2"/>
        <v>40189774</v>
      </c>
      <c r="J23" s="64">
        <f t="shared" si="2"/>
        <v>42242524</v>
      </c>
      <c r="K23" s="64">
        <f t="shared" si="2"/>
        <v>49808482</v>
      </c>
      <c r="L23" s="64">
        <f t="shared" si="2"/>
        <v>38640240</v>
      </c>
      <c r="M23" s="65">
        <f t="shared" si="2"/>
        <v>38659596</v>
      </c>
      <c r="N23" s="64">
        <f t="shared" si="2"/>
        <v>59865259</v>
      </c>
      <c r="O23" s="64">
        <f t="shared" si="2"/>
        <v>59056213</v>
      </c>
      <c r="P23" s="64">
        <f t="shared" si="2"/>
        <v>88675041</v>
      </c>
      <c r="Q23" s="64">
        <f t="shared" si="2"/>
        <v>98372469</v>
      </c>
      <c r="R23" s="64">
        <f t="shared" si="2"/>
        <v>63696487</v>
      </c>
      <c r="S23" s="64">
        <f t="shared" si="2"/>
        <v>128397191</v>
      </c>
      <c r="T23" s="62">
        <f t="shared" si="2"/>
        <v>742621490</v>
      </c>
      <c r="U23" s="610">
        <f t="shared" ref="U23:U54" si="3">G23-T23</f>
        <v>0</v>
      </c>
    </row>
    <row r="24" spans="1:22">
      <c r="A24" s="597">
        <v>202110101</v>
      </c>
      <c r="B24" s="335" t="s">
        <v>7</v>
      </c>
      <c r="C24" s="599">
        <v>488231324</v>
      </c>
      <c r="D24" s="8"/>
      <c r="E24" s="9"/>
      <c r="F24" s="340">
        <v>75000000</v>
      </c>
      <c r="G24" s="39">
        <f>ROUND((C24+D24+E24-F24),1)</f>
        <v>413231324</v>
      </c>
      <c r="H24" s="40">
        <v>34852488</v>
      </c>
      <c r="I24" s="40">
        <v>40024048</v>
      </c>
      <c r="J24" s="40">
        <v>36520548</v>
      </c>
      <c r="K24" s="40">
        <v>38000126</v>
      </c>
      <c r="L24" s="40">
        <v>38474514</v>
      </c>
      <c r="M24" s="40">
        <v>38474514</v>
      </c>
      <c r="N24" s="40">
        <v>41418011</v>
      </c>
      <c r="O24" s="40">
        <v>0</v>
      </c>
      <c r="P24" s="40">
        <v>44241557</v>
      </c>
      <c r="Q24" s="40">
        <v>44595000</v>
      </c>
      <c r="R24" s="40">
        <v>18956404</v>
      </c>
      <c r="S24" s="40">
        <v>37674114</v>
      </c>
      <c r="T24" s="42">
        <f t="shared" ref="T24:T32" si="4">SUM(H24:S24)</f>
        <v>413231324</v>
      </c>
      <c r="U24" s="26">
        <f t="shared" si="3"/>
        <v>0</v>
      </c>
    </row>
    <row r="25" spans="1:22">
      <c r="A25" s="597">
        <v>202110101</v>
      </c>
      <c r="B25" s="335" t="s">
        <v>216</v>
      </c>
      <c r="C25" s="599"/>
      <c r="D25" s="8">
        <v>167244166</v>
      </c>
      <c r="E25" s="9"/>
      <c r="F25" s="38"/>
      <c r="G25" s="39">
        <f>ROUND((C25+D25+E25-F25),1)</f>
        <v>167244166</v>
      </c>
      <c r="H25" s="40"/>
      <c r="I25" s="40"/>
      <c r="J25" s="40"/>
      <c r="K25" s="40">
        <v>0</v>
      </c>
      <c r="L25" s="40"/>
      <c r="M25" s="40">
        <v>0</v>
      </c>
      <c r="N25" s="40">
        <v>0</v>
      </c>
      <c r="O25" s="40">
        <v>57442720</v>
      </c>
      <c r="P25" s="40">
        <v>40893290</v>
      </c>
      <c r="Q25" s="40">
        <v>43932280</v>
      </c>
      <c r="R25" s="40">
        <v>24975876</v>
      </c>
      <c r="S25" s="40"/>
      <c r="T25" s="42">
        <f t="shared" si="4"/>
        <v>167244166</v>
      </c>
      <c r="U25" s="26">
        <f t="shared" si="3"/>
        <v>0</v>
      </c>
    </row>
    <row r="26" spans="1:22">
      <c r="A26" s="597">
        <v>202110103</v>
      </c>
      <c r="B26" s="335" t="s">
        <v>11</v>
      </c>
      <c r="C26" s="599">
        <v>1246000</v>
      </c>
      <c r="D26" s="8"/>
      <c r="E26" s="9"/>
      <c r="F26" s="10"/>
      <c r="G26" s="39">
        <f t="shared" ref="G26:G32" si="5">ROUND((C26+D26+E26-F26),1)</f>
        <v>1246000</v>
      </c>
      <c r="H26" s="40">
        <v>102854</v>
      </c>
      <c r="I26" s="40">
        <v>102854</v>
      </c>
      <c r="J26" s="40">
        <v>102854</v>
      </c>
      <c r="K26" s="40">
        <v>102854</v>
      </c>
      <c r="L26" s="40">
        <v>102854</v>
      </c>
      <c r="M26" s="40">
        <v>102854</v>
      </c>
      <c r="N26" s="40">
        <v>102854</v>
      </c>
      <c r="O26" s="40">
        <v>102854</v>
      </c>
      <c r="P26" s="40">
        <v>102854</v>
      </c>
      <c r="Q26" s="40">
        <v>102854</v>
      </c>
      <c r="R26" s="40">
        <v>102854</v>
      </c>
      <c r="S26" s="40">
        <v>114606</v>
      </c>
      <c r="T26" s="42">
        <f t="shared" si="4"/>
        <v>1246000</v>
      </c>
      <c r="U26" s="26">
        <f t="shared" si="3"/>
        <v>0</v>
      </c>
    </row>
    <row r="27" spans="1:22">
      <c r="A27" s="597">
        <v>202110104</v>
      </c>
      <c r="B27" s="335" t="s">
        <v>13</v>
      </c>
      <c r="C27" s="599">
        <v>900000</v>
      </c>
      <c r="D27" s="8"/>
      <c r="E27" s="9"/>
      <c r="F27" s="10"/>
      <c r="G27" s="39">
        <f t="shared" si="5"/>
        <v>900000</v>
      </c>
      <c r="H27" s="40">
        <v>62872</v>
      </c>
      <c r="I27" s="40">
        <v>62872</v>
      </c>
      <c r="J27" s="40">
        <v>62872</v>
      </c>
      <c r="K27" s="40">
        <v>62872</v>
      </c>
      <c r="L27" s="40">
        <v>62872</v>
      </c>
      <c r="M27" s="40">
        <v>82228</v>
      </c>
      <c r="N27" s="40">
        <v>66098</v>
      </c>
      <c r="O27" s="40">
        <v>66098</v>
      </c>
      <c r="P27" s="40">
        <v>66098</v>
      </c>
      <c r="Q27" s="40">
        <v>66098</v>
      </c>
      <c r="R27" s="40">
        <v>66098</v>
      </c>
      <c r="S27" s="40">
        <v>172922</v>
      </c>
      <c r="T27" s="42">
        <f t="shared" si="4"/>
        <v>900000</v>
      </c>
      <c r="U27" s="26">
        <f t="shared" si="3"/>
        <v>0</v>
      </c>
    </row>
    <row r="28" spans="1:22">
      <c r="A28" s="597">
        <v>202110105</v>
      </c>
      <c r="B28" s="335" t="s">
        <v>15</v>
      </c>
      <c r="C28" s="599">
        <v>17000000</v>
      </c>
      <c r="D28" s="8"/>
      <c r="E28" s="9"/>
      <c r="F28" s="10"/>
      <c r="G28" s="39">
        <f t="shared" si="5"/>
        <v>17000000</v>
      </c>
      <c r="H28" s="40">
        <v>0</v>
      </c>
      <c r="I28" s="4">
        <v>0</v>
      </c>
      <c r="J28" s="4">
        <v>574520</v>
      </c>
      <c r="K28" s="4">
        <v>1654519</v>
      </c>
      <c r="L28" s="4">
        <v>0</v>
      </c>
      <c r="M28" s="4">
        <v>0</v>
      </c>
      <c r="N28" s="4">
        <v>3610046</v>
      </c>
      <c r="O28" s="4">
        <v>0</v>
      </c>
      <c r="P28" s="4">
        <v>3371242</v>
      </c>
      <c r="Q28" s="4">
        <f>613857+1007527</f>
        <v>1621384</v>
      </c>
      <c r="R28" s="41">
        <v>4334531</v>
      </c>
      <c r="S28" s="4">
        <v>1833758</v>
      </c>
      <c r="T28" s="42">
        <f t="shared" si="4"/>
        <v>17000000</v>
      </c>
      <c r="U28" s="26">
        <f t="shared" si="3"/>
        <v>0</v>
      </c>
    </row>
    <row r="29" spans="1:22">
      <c r="A29" s="597">
        <v>202110106</v>
      </c>
      <c r="B29" s="335" t="s">
        <v>17</v>
      </c>
      <c r="C29" s="599">
        <v>24000000</v>
      </c>
      <c r="D29" s="8"/>
      <c r="E29" s="11"/>
      <c r="F29" s="10"/>
      <c r="G29" s="39">
        <f t="shared" si="5"/>
        <v>24000000</v>
      </c>
      <c r="H29" s="40">
        <v>0</v>
      </c>
      <c r="I29" s="40">
        <v>0</v>
      </c>
      <c r="J29" s="40">
        <v>2853010</v>
      </c>
      <c r="K29" s="40">
        <v>2294859</v>
      </c>
      <c r="L29" s="40">
        <v>0</v>
      </c>
      <c r="M29" s="4">
        <v>0</v>
      </c>
      <c r="N29" s="41">
        <v>14238764</v>
      </c>
      <c r="O29" s="41">
        <v>1444541</v>
      </c>
      <c r="P29" s="4">
        <v>0</v>
      </c>
      <c r="Q29" s="41">
        <v>61195</v>
      </c>
      <c r="R29" s="41">
        <v>3107631</v>
      </c>
      <c r="S29" s="41"/>
      <c r="T29" s="42">
        <f t="shared" si="4"/>
        <v>24000000</v>
      </c>
      <c r="U29" s="26">
        <f t="shared" si="3"/>
        <v>0</v>
      </c>
    </row>
    <row r="30" spans="1:22" ht="14.25">
      <c r="A30" s="597">
        <v>202110107</v>
      </c>
      <c r="B30" s="335" t="s">
        <v>19</v>
      </c>
      <c r="C30" s="599">
        <v>28000000</v>
      </c>
      <c r="D30" s="8"/>
      <c r="E30" s="9"/>
      <c r="F30" s="43"/>
      <c r="G30" s="39">
        <f t="shared" si="5"/>
        <v>28000000</v>
      </c>
      <c r="H30" s="40">
        <v>0</v>
      </c>
      <c r="I30" s="2">
        <v>0</v>
      </c>
      <c r="J30" s="4">
        <v>841370</v>
      </c>
      <c r="K30" s="4">
        <v>2569155</v>
      </c>
      <c r="L30" s="4">
        <v>0</v>
      </c>
      <c r="M30" s="4">
        <v>0</v>
      </c>
      <c r="N30" s="4">
        <v>147659</v>
      </c>
      <c r="O30" s="4">
        <v>0</v>
      </c>
      <c r="P30" s="342">
        <v>0</v>
      </c>
      <c r="Q30" s="44">
        <f>893413+1565615</f>
        <v>2459028</v>
      </c>
      <c r="R30" s="44">
        <v>9342542</v>
      </c>
      <c r="S30" s="44">
        <v>12640246</v>
      </c>
      <c r="T30" s="42">
        <f t="shared" si="4"/>
        <v>28000000</v>
      </c>
      <c r="U30" s="26">
        <f t="shared" si="3"/>
        <v>0</v>
      </c>
    </row>
    <row r="31" spans="1:22" ht="14.25">
      <c r="A31" s="597">
        <v>202110109</v>
      </c>
      <c r="B31" s="335" t="s">
        <v>20</v>
      </c>
      <c r="C31" s="599">
        <v>36000000</v>
      </c>
      <c r="D31" s="8"/>
      <c r="E31" s="9"/>
      <c r="F31" s="43"/>
      <c r="G31" s="39">
        <f t="shared" si="5"/>
        <v>36000000</v>
      </c>
      <c r="H31" s="40">
        <v>0</v>
      </c>
      <c r="I31" s="2">
        <v>0</v>
      </c>
      <c r="J31" s="4">
        <v>1287350</v>
      </c>
      <c r="K31" s="4">
        <v>3792056</v>
      </c>
      <c r="L31" s="4">
        <v>0</v>
      </c>
      <c r="M31" s="4">
        <v>0</v>
      </c>
      <c r="N31" s="4">
        <v>208565</v>
      </c>
      <c r="O31" s="4">
        <v>0</v>
      </c>
      <c r="P31" s="342">
        <v>0</v>
      </c>
      <c r="Q31" s="44">
        <f>1241167+116925+2346106</f>
        <v>3704198</v>
      </c>
      <c r="R31" s="44">
        <v>2810551</v>
      </c>
      <c r="S31" s="44">
        <v>24197280</v>
      </c>
      <c r="T31" s="42">
        <f t="shared" si="4"/>
        <v>36000000</v>
      </c>
      <c r="U31" s="26">
        <f t="shared" si="3"/>
        <v>0</v>
      </c>
    </row>
    <row r="32" spans="1:22" ht="13.5" thickBot="1">
      <c r="A32" s="597">
        <v>202110108</v>
      </c>
      <c r="B32" s="335" t="s">
        <v>21</v>
      </c>
      <c r="C32" s="599">
        <v>55000000</v>
      </c>
      <c r="D32" s="8"/>
      <c r="E32" s="9"/>
      <c r="F32" s="10"/>
      <c r="G32" s="39">
        <f t="shared" si="5"/>
        <v>55000000</v>
      </c>
      <c r="H32" s="40">
        <v>0</v>
      </c>
      <c r="I32" s="3"/>
      <c r="J32" s="4">
        <v>0</v>
      </c>
      <c r="K32" s="4">
        <v>1332041</v>
      </c>
      <c r="L32" s="4">
        <v>0</v>
      </c>
      <c r="M32" s="4">
        <v>0</v>
      </c>
      <c r="N32" s="4">
        <v>73262</v>
      </c>
      <c r="O32" s="4">
        <v>0</v>
      </c>
      <c r="P32" s="4">
        <v>0</v>
      </c>
      <c r="Q32" s="4">
        <v>1830432</v>
      </c>
      <c r="R32" s="4">
        <v>0</v>
      </c>
      <c r="S32" s="4">
        <v>51764265</v>
      </c>
      <c r="T32" s="42">
        <f t="shared" si="4"/>
        <v>55000000</v>
      </c>
      <c r="U32" s="26">
        <f t="shared" si="3"/>
        <v>0</v>
      </c>
    </row>
    <row r="33" spans="1:21" ht="18" customHeight="1">
      <c r="A33" s="596">
        <v>2021102</v>
      </c>
      <c r="B33" s="591" t="s">
        <v>130</v>
      </c>
      <c r="C33" s="61">
        <f>SUM(C34:C36)</f>
        <v>20000000</v>
      </c>
      <c r="D33" s="61">
        <f>SUM(D34:D36)</f>
        <v>0</v>
      </c>
      <c r="E33" s="61">
        <f>SUM(E34:E36)</f>
        <v>91500000</v>
      </c>
      <c r="F33" s="61">
        <f>SUM(F34:F36)</f>
        <v>0</v>
      </c>
      <c r="G33" s="109">
        <f>SUM(G34:G36)</f>
        <v>111500000</v>
      </c>
      <c r="H33" s="109">
        <f t="shared" ref="H33:T33" si="6">SUM(H34:H36)</f>
        <v>0</v>
      </c>
      <c r="I33" s="109">
        <f t="shared" si="6"/>
        <v>7000000</v>
      </c>
      <c r="J33" s="109">
        <f t="shared" si="6"/>
        <v>2000000</v>
      </c>
      <c r="K33" s="109">
        <f t="shared" si="6"/>
        <v>6000000</v>
      </c>
      <c r="L33" s="109">
        <f t="shared" si="6"/>
        <v>8500000</v>
      </c>
      <c r="M33" s="109">
        <f t="shared" si="6"/>
        <v>10000000</v>
      </c>
      <c r="N33" s="109">
        <f t="shared" si="6"/>
        <v>18500000</v>
      </c>
      <c r="O33" s="109">
        <f t="shared" si="6"/>
        <v>15500000</v>
      </c>
      <c r="P33" s="109">
        <f t="shared" si="6"/>
        <v>10500000</v>
      </c>
      <c r="Q33" s="109">
        <f t="shared" si="6"/>
        <v>15500000</v>
      </c>
      <c r="R33" s="109">
        <f t="shared" si="6"/>
        <v>8166000</v>
      </c>
      <c r="S33" s="109">
        <f t="shared" si="6"/>
        <v>9834000</v>
      </c>
      <c r="T33" s="109">
        <f t="shared" si="6"/>
        <v>111500000</v>
      </c>
      <c r="U33" s="26">
        <f t="shared" si="3"/>
        <v>0</v>
      </c>
    </row>
    <row r="34" spans="1:21">
      <c r="A34" s="597">
        <v>202110201</v>
      </c>
      <c r="B34" s="350" t="s">
        <v>25</v>
      </c>
      <c r="C34" s="600">
        <v>20000000</v>
      </c>
      <c r="D34" s="8"/>
      <c r="E34" s="11">
        <v>67000000</v>
      </c>
      <c r="F34" s="10"/>
      <c r="G34" s="39">
        <f>C34+D34+E34-F34</f>
        <v>87000000</v>
      </c>
      <c r="H34" s="41">
        <v>0</v>
      </c>
      <c r="I34" s="40">
        <v>5000000</v>
      </c>
      <c r="J34" s="40">
        <v>0</v>
      </c>
      <c r="K34" s="40">
        <v>4000000</v>
      </c>
      <c r="L34" s="40">
        <v>6500000</v>
      </c>
      <c r="M34" s="40">
        <v>8000000</v>
      </c>
      <c r="N34" s="40">
        <v>16500000</v>
      </c>
      <c r="O34" s="40">
        <v>13000000</v>
      </c>
      <c r="P34" s="40">
        <v>8000000</v>
      </c>
      <c r="Q34" s="40">
        <v>13000000</v>
      </c>
      <c r="R34" s="40">
        <v>5666000</v>
      </c>
      <c r="S34" s="40">
        <f>5668000+1666000</f>
        <v>7334000</v>
      </c>
      <c r="T34" s="42">
        <f>SUM(H34:S34)</f>
        <v>87000000</v>
      </c>
      <c r="U34" s="26">
        <f t="shared" si="3"/>
        <v>0</v>
      </c>
    </row>
    <row r="35" spans="1:21">
      <c r="A35" s="597">
        <v>202110202</v>
      </c>
      <c r="B35" s="335" t="s">
        <v>27</v>
      </c>
      <c r="C35" s="102">
        <v>0</v>
      </c>
      <c r="D35" s="8"/>
      <c r="E35" s="9">
        <f>12000000+12500000</f>
        <v>24500000</v>
      </c>
      <c r="F35" s="10"/>
      <c r="G35" s="39">
        <f>C35+D35+E35-F35</f>
        <v>24500000</v>
      </c>
      <c r="H35" s="39"/>
      <c r="I35" s="39">
        <v>2000000</v>
      </c>
      <c r="J35" s="39">
        <v>2000000</v>
      </c>
      <c r="K35" s="39">
        <v>2000000</v>
      </c>
      <c r="L35" s="39">
        <v>2000000</v>
      </c>
      <c r="M35" s="39">
        <v>2000000</v>
      </c>
      <c r="N35" s="39">
        <v>2000000</v>
      </c>
      <c r="O35" s="39">
        <v>2500000</v>
      </c>
      <c r="P35" s="39">
        <v>2500000</v>
      </c>
      <c r="Q35" s="39">
        <v>2500000</v>
      </c>
      <c r="R35" s="39">
        <v>2500000</v>
      </c>
      <c r="S35" s="39">
        <v>2500000</v>
      </c>
      <c r="T35" s="42">
        <f>SUM(H35:S35)</f>
        <v>24500000</v>
      </c>
      <c r="U35" s="26">
        <f t="shared" si="3"/>
        <v>0</v>
      </c>
    </row>
    <row r="36" spans="1:21">
      <c r="A36" s="597">
        <v>202110203</v>
      </c>
      <c r="B36" s="351" t="s">
        <v>29</v>
      </c>
      <c r="C36" s="102">
        <v>0</v>
      </c>
      <c r="D36" s="8"/>
      <c r="E36" s="9"/>
      <c r="F36" s="10"/>
      <c r="G36" s="39">
        <f>C36+D36+E36-F36</f>
        <v>0</v>
      </c>
      <c r="H36" s="39">
        <f t="shared" ref="H36:S36" si="7">D36+E36+F36-G36</f>
        <v>0</v>
      </c>
      <c r="I36" s="39">
        <f t="shared" si="7"/>
        <v>0</v>
      </c>
      <c r="J36" s="39">
        <f t="shared" si="7"/>
        <v>0</v>
      </c>
      <c r="K36" s="39">
        <v>0</v>
      </c>
      <c r="L36" s="39">
        <v>0</v>
      </c>
      <c r="M36" s="39">
        <f t="shared" si="7"/>
        <v>0</v>
      </c>
      <c r="N36" s="39">
        <f>J36+K36+L36-M36</f>
        <v>0</v>
      </c>
      <c r="O36" s="39">
        <f>K36+L36+M36-N36</f>
        <v>0</v>
      </c>
      <c r="P36" s="39">
        <f>L36+M36+N36-O36</f>
        <v>0</v>
      </c>
      <c r="Q36" s="39">
        <f>M36+N36+O36-P36</f>
        <v>0</v>
      </c>
      <c r="R36" s="39">
        <f t="shared" si="7"/>
        <v>0</v>
      </c>
      <c r="S36" s="39">
        <f t="shared" si="7"/>
        <v>0</v>
      </c>
      <c r="T36" s="42">
        <f>SUM(H36:S36)</f>
        <v>0</v>
      </c>
      <c r="U36" s="26">
        <f t="shared" si="3"/>
        <v>0</v>
      </c>
    </row>
    <row r="37" spans="1:21" ht="24" customHeight="1" thickBot="1">
      <c r="A37" s="595"/>
      <c r="B37" s="592" t="s">
        <v>131</v>
      </c>
      <c r="C37" s="67">
        <f>C38+C43</f>
        <v>149019000</v>
      </c>
      <c r="D37" s="63">
        <f>D38+D43</f>
        <v>0</v>
      </c>
      <c r="E37" s="64">
        <f>E38+E43+E59</f>
        <v>29500000</v>
      </c>
      <c r="F37" s="64">
        <f>F38+F43+F59</f>
        <v>0</v>
      </c>
      <c r="G37" s="64">
        <f>G38+G43</f>
        <v>178519000</v>
      </c>
      <c r="H37" s="64">
        <f t="shared" ref="H37:S37" si="8">H38+H43</f>
        <v>4800623</v>
      </c>
      <c r="I37" s="64">
        <f t="shared" si="8"/>
        <v>9465389</v>
      </c>
      <c r="J37" s="64">
        <f t="shared" si="8"/>
        <v>14417721</v>
      </c>
      <c r="K37" s="64">
        <f t="shared" si="8"/>
        <v>6032013</v>
      </c>
      <c r="L37" s="64">
        <f t="shared" si="8"/>
        <v>817771</v>
      </c>
      <c r="M37" s="64">
        <f t="shared" si="8"/>
        <v>11854532</v>
      </c>
      <c r="N37" s="64">
        <f t="shared" si="8"/>
        <v>4035991</v>
      </c>
      <c r="O37" s="64">
        <f t="shared" si="8"/>
        <v>7955431</v>
      </c>
      <c r="P37" s="64">
        <f t="shared" si="8"/>
        <v>12932633</v>
      </c>
      <c r="Q37" s="64">
        <f t="shared" si="8"/>
        <v>42726200</v>
      </c>
      <c r="R37" s="64">
        <f t="shared" si="8"/>
        <v>48565575</v>
      </c>
      <c r="S37" s="64">
        <f t="shared" si="8"/>
        <v>14915121</v>
      </c>
      <c r="T37" s="67">
        <f>T43+T38</f>
        <v>178519000</v>
      </c>
      <c r="U37" s="26">
        <f t="shared" si="3"/>
        <v>0</v>
      </c>
    </row>
    <row r="38" spans="1:21">
      <c r="A38" s="596">
        <v>2021201</v>
      </c>
      <c r="B38" s="591" t="s">
        <v>132</v>
      </c>
      <c r="C38" s="109">
        <f>SUM(C39:C42)</f>
        <v>21300000</v>
      </c>
      <c r="D38" s="61">
        <f>SUM(D39:D42)</f>
        <v>0</v>
      </c>
      <c r="E38" s="61">
        <f>SUM(E39:E42)</f>
        <v>16000000</v>
      </c>
      <c r="F38" s="61">
        <f>SUM(F39:F42)</f>
        <v>0</v>
      </c>
      <c r="G38" s="109">
        <f>SUM(G39:G42)</f>
        <v>37300000</v>
      </c>
      <c r="H38" s="109">
        <f t="shared" ref="H38:T38" si="9">SUM(H39:H42)</f>
        <v>1799800</v>
      </c>
      <c r="I38" s="109">
        <f t="shared" si="9"/>
        <v>0</v>
      </c>
      <c r="J38" s="109">
        <f t="shared" si="9"/>
        <v>4608700</v>
      </c>
      <c r="K38" s="109">
        <f t="shared" si="9"/>
        <v>1136700</v>
      </c>
      <c r="L38" s="109">
        <f t="shared" si="9"/>
        <v>0</v>
      </c>
      <c r="M38" s="109">
        <f t="shared" si="9"/>
        <v>5166200</v>
      </c>
      <c r="N38" s="109">
        <f t="shared" si="9"/>
        <v>884200</v>
      </c>
      <c r="O38" s="109">
        <f t="shared" si="9"/>
        <v>1268500</v>
      </c>
      <c r="P38" s="109">
        <f t="shared" si="9"/>
        <v>2680000</v>
      </c>
      <c r="Q38" s="109">
        <f t="shared" si="9"/>
        <v>14146200</v>
      </c>
      <c r="R38" s="109">
        <f t="shared" si="9"/>
        <v>2680000</v>
      </c>
      <c r="S38" s="109">
        <f t="shared" si="9"/>
        <v>2929700</v>
      </c>
      <c r="T38" s="109">
        <f t="shared" si="9"/>
        <v>37300000</v>
      </c>
      <c r="U38" s="26">
        <f t="shared" si="3"/>
        <v>0</v>
      </c>
    </row>
    <row r="39" spans="1:21">
      <c r="A39" s="597">
        <v>202120101</v>
      </c>
      <c r="B39" s="351" t="s">
        <v>33</v>
      </c>
      <c r="C39" s="601">
        <v>6000000</v>
      </c>
      <c r="D39" s="8"/>
      <c r="E39" s="9"/>
      <c r="F39" s="10"/>
      <c r="G39" s="39">
        <f>C39+D39+E39-F39</f>
        <v>6000000</v>
      </c>
      <c r="H39" s="41">
        <v>0</v>
      </c>
      <c r="I39" s="2">
        <v>0</v>
      </c>
      <c r="J39" s="2">
        <v>3600000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2400000</v>
      </c>
      <c r="R39" s="2">
        <v>0</v>
      </c>
      <c r="S39" s="2">
        <v>0</v>
      </c>
      <c r="T39" s="42">
        <f>SUM(H39:S39)</f>
        <v>6000000</v>
      </c>
      <c r="U39" s="26">
        <f t="shared" si="3"/>
        <v>0</v>
      </c>
    </row>
    <row r="40" spans="1:21">
      <c r="A40" s="597">
        <v>202120102</v>
      </c>
      <c r="B40" s="354" t="s">
        <v>35</v>
      </c>
      <c r="C40" s="601">
        <v>14000000</v>
      </c>
      <c r="D40" s="45"/>
      <c r="E40" s="9">
        <v>16000000</v>
      </c>
      <c r="F40" s="10"/>
      <c r="G40" s="39">
        <f>C40+D40+E40-F40</f>
        <v>30000000</v>
      </c>
      <c r="H40" s="40">
        <v>1799800</v>
      </c>
      <c r="I40" s="40">
        <v>0</v>
      </c>
      <c r="J40" s="40">
        <v>1008700</v>
      </c>
      <c r="K40" s="40">
        <v>1136700</v>
      </c>
      <c r="L40" s="40"/>
      <c r="M40" s="40">
        <v>5166200</v>
      </c>
      <c r="N40" s="40">
        <v>884200</v>
      </c>
      <c r="O40" s="40">
        <v>1268500</v>
      </c>
      <c r="P40" s="40">
        <v>2680000</v>
      </c>
      <c r="Q40" s="40">
        <v>10446200</v>
      </c>
      <c r="R40" s="40">
        <v>2680000</v>
      </c>
      <c r="S40" s="40">
        <v>2929700</v>
      </c>
      <c r="T40" s="42">
        <f>SUM(H40:S40)</f>
        <v>30000000</v>
      </c>
      <c r="U40" s="26">
        <f t="shared" si="3"/>
        <v>0</v>
      </c>
    </row>
    <row r="41" spans="1:21">
      <c r="A41" s="597">
        <v>202120104</v>
      </c>
      <c r="B41" s="351" t="s">
        <v>37</v>
      </c>
      <c r="C41" s="601">
        <v>1300000</v>
      </c>
      <c r="D41" s="8"/>
      <c r="E41" s="9"/>
      <c r="F41" s="10"/>
      <c r="G41" s="39">
        <f>C41+D41+E41-F41</f>
        <v>1300000</v>
      </c>
      <c r="H41" s="41">
        <v>0</v>
      </c>
      <c r="I41" s="40">
        <v>0</v>
      </c>
      <c r="J41" s="40">
        <v>0</v>
      </c>
      <c r="K41" s="40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1300000</v>
      </c>
      <c r="R41" s="41">
        <v>0</v>
      </c>
      <c r="S41" s="41"/>
      <c r="T41" s="42">
        <f>SUM(H41:S41)</f>
        <v>1300000</v>
      </c>
      <c r="U41" s="26">
        <f t="shared" si="3"/>
        <v>0</v>
      </c>
    </row>
    <row r="42" spans="1:21">
      <c r="A42" s="597">
        <v>202120105</v>
      </c>
      <c r="B42" s="351" t="s">
        <v>39</v>
      </c>
      <c r="C42" s="601">
        <v>0</v>
      </c>
      <c r="D42" s="8">
        <v>0</v>
      </c>
      <c r="E42" s="9">
        <v>0</v>
      </c>
      <c r="F42" s="10">
        <v>0</v>
      </c>
      <c r="G42" s="39">
        <f>C42+D42+E42-F42</f>
        <v>0</v>
      </c>
      <c r="H42" s="41">
        <f t="shared" ref="H42:R42" si="10">ROUND($G$42/12,-1)</f>
        <v>0</v>
      </c>
      <c r="I42" s="40"/>
      <c r="J42" s="40">
        <v>0</v>
      </c>
      <c r="K42" s="40">
        <v>0</v>
      </c>
      <c r="L42" s="41">
        <f t="shared" si="10"/>
        <v>0</v>
      </c>
      <c r="M42" s="41">
        <f t="shared" si="10"/>
        <v>0</v>
      </c>
      <c r="N42" s="41">
        <f t="shared" si="10"/>
        <v>0</v>
      </c>
      <c r="O42" s="41">
        <f t="shared" si="10"/>
        <v>0</v>
      </c>
      <c r="P42" s="41">
        <f t="shared" si="10"/>
        <v>0</v>
      </c>
      <c r="Q42" s="41">
        <f t="shared" si="10"/>
        <v>0</v>
      </c>
      <c r="R42" s="41">
        <f t="shared" si="10"/>
        <v>0</v>
      </c>
      <c r="S42" s="41">
        <f>G42-SUM(H42:R42)</f>
        <v>0</v>
      </c>
      <c r="T42" s="42">
        <f>SUM(H42:S42)</f>
        <v>0</v>
      </c>
      <c r="U42" s="26">
        <f t="shared" si="3"/>
        <v>0</v>
      </c>
    </row>
    <row r="43" spans="1:21">
      <c r="A43" s="596">
        <v>2021202</v>
      </c>
      <c r="B43" s="593" t="s">
        <v>133</v>
      </c>
      <c r="C43" s="286">
        <f>SUM(C44:C59)</f>
        <v>127719000</v>
      </c>
      <c r="D43" s="101">
        <f>SUM(D44:D57)</f>
        <v>0</v>
      </c>
      <c r="E43" s="103">
        <f>SUM(E44:E58)</f>
        <v>13500000</v>
      </c>
      <c r="F43" s="103">
        <f>SUM(F44:F59)</f>
        <v>0</v>
      </c>
      <c r="G43" s="103">
        <f t="shared" ref="G43:L43" si="11">ROUND(SUM(G44:G59),0)</f>
        <v>141219000</v>
      </c>
      <c r="H43" s="103">
        <f t="shared" si="11"/>
        <v>3000823</v>
      </c>
      <c r="I43" s="103">
        <f t="shared" si="11"/>
        <v>9465389</v>
      </c>
      <c r="J43" s="103">
        <f t="shared" si="11"/>
        <v>9809021</v>
      </c>
      <c r="K43" s="103">
        <f t="shared" si="11"/>
        <v>4895313</v>
      </c>
      <c r="L43" s="103">
        <f t="shared" si="11"/>
        <v>817771</v>
      </c>
      <c r="M43" s="103">
        <f>ROUND(SUM(M44:M58),0)</f>
        <v>6688332</v>
      </c>
      <c r="N43" s="103">
        <f>ROUND(SUM(N44:N58),0)</f>
        <v>3151791</v>
      </c>
      <c r="O43" s="103">
        <f>ROUND(SUM(O44:O58),0)</f>
        <v>6686931</v>
      </c>
      <c r="P43" s="103">
        <f>ROUND(SUM(P44:P59),0)</f>
        <v>10252633</v>
      </c>
      <c r="Q43" s="103">
        <f>ROUND(SUM(Q44:Q59),0)</f>
        <v>28580000</v>
      </c>
      <c r="R43" s="103">
        <f>ROUND(SUM(R44:R59),0)</f>
        <v>45885575</v>
      </c>
      <c r="S43" s="103">
        <f>ROUND(SUM(S44:S59),0)</f>
        <v>11985421</v>
      </c>
      <c r="T43" s="104">
        <f>SUM(T44:T59)</f>
        <v>141219000</v>
      </c>
      <c r="U43" s="26">
        <f t="shared" si="3"/>
        <v>0</v>
      </c>
    </row>
    <row r="44" spans="1:21">
      <c r="A44" s="597">
        <v>202120201</v>
      </c>
      <c r="B44" s="351" t="s">
        <v>43</v>
      </c>
      <c r="C44" s="601">
        <v>9000000</v>
      </c>
      <c r="D44" s="45"/>
      <c r="E44" s="11">
        <v>10000000</v>
      </c>
      <c r="F44" s="10"/>
      <c r="G44" s="39">
        <f>C44+D44+E44-F44</f>
        <v>19000000</v>
      </c>
      <c r="H44" s="40">
        <v>1400000</v>
      </c>
      <c r="I44" s="40">
        <v>0</v>
      </c>
      <c r="J44" s="40">
        <v>1162000</v>
      </c>
      <c r="K44" s="40">
        <v>1360000</v>
      </c>
      <c r="L44" s="44">
        <v>0</v>
      </c>
      <c r="M44" s="40">
        <v>1269500</v>
      </c>
      <c r="N44" s="40">
        <v>2104000</v>
      </c>
      <c r="O44" s="44">
        <v>1400000</v>
      </c>
      <c r="P44" s="40">
        <v>3500000</v>
      </c>
      <c r="Q44" s="40">
        <v>3500000</v>
      </c>
      <c r="R44" s="40">
        <v>3304500</v>
      </c>
      <c r="S44" s="40"/>
      <c r="T44" s="42">
        <f t="shared" ref="T44:T59" si="12">SUM(H44:S44)</f>
        <v>19000000</v>
      </c>
      <c r="U44" s="26">
        <f t="shared" si="3"/>
        <v>0</v>
      </c>
    </row>
    <row r="45" spans="1:21" ht="14.25">
      <c r="A45" s="597">
        <v>202120202</v>
      </c>
      <c r="B45" s="351" t="s">
        <v>44</v>
      </c>
      <c r="C45" s="601">
        <v>52500000</v>
      </c>
      <c r="D45" s="45"/>
      <c r="E45" s="11"/>
      <c r="F45" s="10"/>
      <c r="G45" s="39">
        <f t="shared" ref="G45:G77" si="13">C45+D45+E45-F45</f>
        <v>52500000</v>
      </c>
      <c r="H45" s="40">
        <v>0</v>
      </c>
      <c r="I45" s="40">
        <v>8926450</v>
      </c>
      <c r="J45" s="40">
        <v>3925870</v>
      </c>
      <c r="K45" s="40">
        <v>561550</v>
      </c>
      <c r="L45" s="40">
        <v>0</v>
      </c>
      <c r="M45" s="40">
        <v>4200250</v>
      </c>
      <c r="N45" s="40"/>
      <c r="O45" s="40">
        <v>3927500</v>
      </c>
      <c r="P45" s="342">
        <v>3998305</v>
      </c>
      <c r="Q45" s="40">
        <v>20000000</v>
      </c>
      <c r="R45" s="40">
        <v>6960075</v>
      </c>
      <c r="S45" s="40"/>
      <c r="T45" s="42">
        <f t="shared" si="12"/>
        <v>52500000</v>
      </c>
      <c r="U45" s="26">
        <f t="shared" si="3"/>
        <v>0</v>
      </c>
    </row>
    <row r="46" spans="1:21">
      <c r="A46" s="597">
        <v>202120203</v>
      </c>
      <c r="B46" s="351" t="s">
        <v>46</v>
      </c>
      <c r="C46" s="601">
        <v>2000000</v>
      </c>
      <c r="D46" s="8"/>
      <c r="E46" s="9"/>
      <c r="F46" s="10"/>
      <c r="G46" s="39">
        <f t="shared" si="13"/>
        <v>2000000</v>
      </c>
      <c r="H46" s="40">
        <v>300000</v>
      </c>
      <c r="I46" s="4">
        <v>0</v>
      </c>
      <c r="J46" s="4">
        <v>222000</v>
      </c>
      <c r="K46" s="4">
        <v>148600</v>
      </c>
      <c r="L46" s="4">
        <v>0</v>
      </c>
      <c r="M46" s="4">
        <v>25000</v>
      </c>
      <c r="N46" s="4"/>
      <c r="O46" s="41">
        <v>220000</v>
      </c>
      <c r="P46" s="4">
        <v>0</v>
      </c>
      <c r="Q46" s="4">
        <v>300000</v>
      </c>
      <c r="R46" s="41">
        <v>300000</v>
      </c>
      <c r="S46" s="41">
        <v>484400</v>
      </c>
      <c r="T46" s="42">
        <f t="shared" si="12"/>
        <v>2000000</v>
      </c>
      <c r="U46" s="26">
        <f t="shared" si="3"/>
        <v>0</v>
      </c>
    </row>
    <row r="47" spans="1:21">
      <c r="A47" s="597">
        <v>202120204</v>
      </c>
      <c r="B47" s="351" t="s">
        <v>48</v>
      </c>
      <c r="C47" s="601">
        <v>11619000</v>
      </c>
      <c r="D47" s="8"/>
      <c r="E47" s="9"/>
      <c r="F47" s="10"/>
      <c r="G47" s="39">
        <f t="shared" si="13"/>
        <v>11619000</v>
      </c>
      <c r="H47" s="40">
        <v>877000</v>
      </c>
      <c r="I47" s="40">
        <v>319000</v>
      </c>
      <c r="J47" s="40">
        <v>1268600</v>
      </c>
      <c r="K47" s="4">
        <v>948900</v>
      </c>
      <c r="L47" s="40">
        <v>404600</v>
      </c>
      <c r="M47" s="40">
        <v>768000</v>
      </c>
      <c r="N47" s="40">
        <v>634400</v>
      </c>
      <c r="O47" s="40">
        <v>619000</v>
      </c>
      <c r="P47" s="4">
        <v>695600</v>
      </c>
      <c r="Q47" s="40">
        <v>1900000</v>
      </c>
      <c r="R47" s="40">
        <v>1900000</v>
      </c>
      <c r="S47" s="40">
        <v>1283900</v>
      </c>
      <c r="T47" s="42">
        <f t="shared" si="12"/>
        <v>11619000</v>
      </c>
      <c r="U47" s="26">
        <f t="shared" si="3"/>
        <v>0</v>
      </c>
    </row>
    <row r="48" spans="1:21">
      <c r="A48" s="597">
        <v>202120205</v>
      </c>
      <c r="B48" s="351" t="s">
        <v>50</v>
      </c>
      <c r="C48" s="601">
        <v>8000000</v>
      </c>
      <c r="D48" s="8"/>
      <c r="E48" s="11"/>
      <c r="F48" s="10"/>
      <c r="G48" s="39">
        <f t="shared" si="13"/>
        <v>8000000</v>
      </c>
      <c r="H48" s="40">
        <v>321383</v>
      </c>
      <c r="I48" s="40">
        <v>132369</v>
      </c>
      <c r="J48" s="40">
        <v>512021</v>
      </c>
      <c r="K48" s="4">
        <v>320788</v>
      </c>
      <c r="L48" s="40">
        <v>322216</v>
      </c>
      <c r="M48" s="40">
        <v>320217</v>
      </c>
      <c r="N48" s="40">
        <v>320431</v>
      </c>
      <c r="O48" s="40">
        <v>320431</v>
      </c>
      <c r="P48" s="4">
        <v>342238</v>
      </c>
      <c r="Q48" s="40">
        <v>680000</v>
      </c>
      <c r="R48" s="40">
        <v>2460000</v>
      </c>
      <c r="S48" s="40">
        <v>1947906</v>
      </c>
      <c r="T48" s="42">
        <f t="shared" si="12"/>
        <v>8000000</v>
      </c>
      <c r="U48" s="26">
        <f t="shared" si="3"/>
        <v>0</v>
      </c>
    </row>
    <row r="49" spans="1:22">
      <c r="A49" s="597">
        <v>202120206</v>
      </c>
      <c r="B49" s="351" t="s">
        <v>52</v>
      </c>
      <c r="C49" s="601">
        <v>2500000</v>
      </c>
      <c r="D49" s="8"/>
      <c r="E49" s="9"/>
      <c r="F49" s="10"/>
      <c r="G49" s="39">
        <f t="shared" si="13"/>
        <v>2500000</v>
      </c>
      <c r="H49" s="40">
        <v>102440</v>
      </c>
      <c r="I49" s="40">
        <v>87570</v>
      </c>
      <c r="J49" s="40">
        <v>88530</v>
      </c>
      <c r="K49" s="2">
        <v>88610</v>
      </c>
      <c r="L49" s="40">
        <v>90955</v>
      </c>
      <c r="M49" s="40">
        <v>105365</v>
      </c>
      <c r="N49" s="40">
        <v>92960</v>
      </c>
      <c r="O49" s="40">
        <v>0</v>
      </c>
      <c r="P49" s="2">
        <v>207490</v>
      </c>
      <c r="Q49" s="40">
        <v>500000</v>
      </c>
      <c r="R49" s="40">
        <v>750000</v>
      </c>
      <c r="S49" s="40">
        <v>386080</v>
      </c>
      <c r="T49" s="42">
        <f t="shared" si="12"/>
        <v>2500000</v>
      </c>
      <c r="U49" s="26">
        <f t="shared" si="3"/>
        <v>0</v>
      </c>
    </row>
    <row r="50" spans="1:22" ht="14.25">
      <c r="A50" s="597">
        <v>202120207</v>
      </c>
      <c r="B50" s="354" t="s">
        <v>54</v>
      </c>
      <c r="C50" s="601">
        <v>1500000</v>
      </c>
      <c r="D50" s="8"/>
      <c r="E50" s="9"/>
      <c r="F50" s="10"/>
      <c r="G50" s="39">
        <f t="shared" si="13"/>
        <v>1500000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200000</v>
      </c>
      <c r="P50" s="342">
        <v>200000</v>
      </c>
      <c r="Q50" s="40">
        <v>200000</v>
      </c>
      <c r="R50" s="40">
        <v>450000</v>
      </c>
      <c r="S50" s="40">
        <v>450000</v>
      </c>
      <c r="T50" s="42">
        <f t="shared" si="12"/>
        <v>1500000</v>
      </c>
      <c r="U50" s="26">
        <f t="shared" si="3"/>
        <v>0</v>
      </c>
    </row>
    <row r="51" spans="1:22" ht="14.25">
      <c r="A51" s="597">
        <v>202120208</v>
      </c>
      <c r="B51" s="351" t="s">
        <v>56</v>
      </c>
      <c r="C51" s="601">
        <v>0</v>
      </c>
      <c r="D51" s="8"/>
      <c r="E51" s="9"/>
      <c r="F51" s="10"/>
      <c r="G51" s="39">
        <f t="shared" si="13"/>
        <v>0</v>
      </c>
      <c r="H51" s="39">
        <v>0</v>
      </c>
      <c r="I51" s="39">
        <v>0</v>
      </c>
      <c r="J51" s="39">
        <v>0</v>
      </c>
      <c r="K51" s="40">
        <v>0</v>
      </c>
      <c r="L51" s="39">
        <v>0</v>
      </c>
      <c r="M51" s="39">
        <v>0</v>
      </c>
      <c r="N51" s="39">
        <v>0</v>
      </c>
      <c r="O51" s="39">
        <v>0</v>
      </c>
      <c r="P51" s="342">
        <v>0</v>
      </c>
      <c r="Q51" s="39"/>
      <c r="R51" s="39"/>
      <c r="S51" s="39"/>
      <c r="T51" s="42">
        <f t="shared" si="12"/>
        <v>0</v>
      </c>
      <c r="U51" s="26">
        <f t="shared" si="3"/>
        <v>0</v>
      </c>
    </row>
    <row r="52" spans="1:22">
      <c r="A52" s="597">
        <v>202120209</v>
      </c>
      <c r="B52" s="351" t="s">
        <v>58</v>
      </c>
      <c r="C52" s="601">
        <v>9400000</v>
      </c>
      <c r="D52" s="8"/>
      <c r="E52" s="11"/>
      <c r="F52" s="10"/>
      <c r="G52" s="39">
        <f t="shared" si="13"/>
        <v>9400000</v>
      </c>
      <c r="H52" s="40">
        <v>0</v>
      </c>
      <c r="I52" s="6">
        <v>0</v>
      </c>
      <c r="J52" s="6">
        <v>0</v>
      </c>
      <c r="K52" s="6">
        <v>1466865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1500000</v>
      </c>
      <c r="R52" s="41"/>
      <c r="S52" s="41">
        <v>6433135</v>
      </c>
      <c r="T52" s="42">
        <f t="shared" si="12"/>
        <v>9400000</v>
      </c>
      <c r="U52" s="26">
        <f t="shared" si="3"/>
        <v>0</v>
      </c>
    </row>
    <row r="53" spans="1:22">
      <c r="A53" s="597">
        <v>202120210</v>
      </c>
      <c r="B53" s="354" t="s">
        <v>60</v>
      </c>
      <c r="C53" s="601">
        <v>10000000</v>
      </c>
      <c r="D53" s="8"/>
      <c r="E53" s="9"/>
      <c r="F53" s="10"/>
      <c r="G53" s="39">
        <f t="shared" si="13"/>
        <v>10000000</v>
      </c>
      <c r="H53" s="40">
        <v>0</v>
      </c>
      <c r="I53" s="6">
        <v>0</v>
      </c>
      <c r="J53" s="6">
        <v>1500000</v>
      </c>
      <c r="K53" s="6">
        <v>0</v>
      </c>
      <c r="L53" s="6">
        <v>0</v>
      </c>
      <c r="M53" s="6" t="s">
        <v>117</v>
      </c>
      <c r="N53" s="6">
        <v>0</v>
      </c>
      <c r="O53" s="6">
        <v>0</v>
      </c>
      <c r="P53" s="6">
        <v>0</v>
      </c>
      <c r="Q53" s="6"/>
      <c r="R53" s="6">
        <v>8500000</v>
      </c>
      <c r="S53" s="6"/>
      <c r="T53" s="42">
        <f t="shared" si="12"/>
        <v>10000000</v>
      </c>
      <c r="U53" s="26">
        <f t="shared" si="3"/>
        <v>0</v>
      </c>
    </row>
    <row r="54" spans="1:22">
      <c r="A54" s="597">
        <v>202120211</v>
      </c>
      <c r="B54" s="351" t="s">
        <v>62</v>
      </c>
      <c r="C54" s="601">
        <v>4000000</v>
      </c>
      <c r="D54" s="8"/>
      <c r="E54" s="9"/>
      <c r="F54" s="10"/>
      <c r="G54" s="39">
        <f t="shared" si="13"/>
        <v>4000000</v>
      </c>
      <c r="H54" s="40">
        <v>0</v>
      </c>
      <c r="I54" s="40">
        <v>0</v>
      </c>
      <c r="J54" s="40">
        <v>1130000</v>
      </c>
      <c r="K54" s="6">
        <v>0</v>
      </c>
      <c r="L54" s="40">
        <v>0</v>
      </c>
      <c r="M54" s="40">
        <v>0</v>
      </c>
      <c r="N54" s="40">
        <v>0</v>
      </c>
      <c r="O54" s="40">
        <v>0</v>
      </c>
      <c r="P54" s="6">
        <v>1309000</v>
      </c>
      <c r="Q54" s="40"/>
      <c r="R54" s="41">
        <v>1561000</v>
      </c>
      <c r="S54" s="41"/>
      <c r="T54" s="42">
        <f t="shared" si="12"/>
        <v>4000000</v>
      </c>
      <c r="U54" s="26">
        <f t="shared" si="3"/>
        <v>0</v>
      </c>
    </row>
    <row r="55" spans="1:22">
      <c r="A55" s="597">
        <v>202120212</v>
      </c>
      <c r="B55" s="351" t="s">
        <v>64</v>
      </c>
      <c r="C55" s="601">
        <v>15000000</v>
      </c>
      <c r="D55" s="8"/>
      <c r="E55" s="9"/>
      <c r="F55" s="10"/>
      <c r="G55" s="39">
        <f t="shared" si="13"/>
        <v>15000000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/>
      <c r="Q55" s="40"/>
      <c r="R55" s="41">
        <v>15000000</v>
      </c>
      <c r="S55" s="41"/>
      <c r="T55" s="42">
        <f t="shared" si="12"/>
        <v>15000000</v>
      </c>
      <c r="U55" s="26">
        <f t="shared" ref="U55:U78" si="14">G55-T55</f>
        <v>0</v>
      </c>
    </row>
    <row r="56" spans="1:22">
      <c r="A56" s="597">
        <v>202120213</v>
      </c>
      <c r="B56" s="351" t="s">
        <v>65</v>
      </c>
      <c r="C56" s="601">
        <v>0</v>
      </c>
      <c r="D56" s="8"/>
      <c r="E56" s="9"/>
      <c r="F56" s="10"/>
      <c r="G56" s="39">
        <f t="shared" si="13"/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/>
      <c r="Q56" s="40"/>
      <c r="R56" s="41"/>
      <c r="S56" s="41"/>
      <c r="T56" s="42">
        <f t="shared" si="12"/>
        <v>0</v>
      </c>
      <c r="U56" s="26">
        <f t="shared" si="14"/>
        <v>0</v>
      </c>
    </row>
    <row r="57" spans="1:22">
      <c r="A57" s="597">
        <v>202120214</v>
      </c>
      <c r="B57" s="351" t="s">
        <v>67</v>
      </c>
      <c r="C57" s="601">
        <v>0</v>
      </c>
      <c r="D57" s="8"/>
      <c r="E57" s="9">
        <v>3500000</v>
      </c>
      <c r="F57" s="10"/>
      <c r="G57" s="39">
        <f t="shared" si="13"/>
        <v>3500000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/>
      <c r="Q57" s="40"/>
      <c r="R57" s="41">
        <v>3500000</v>
      </c>
      <c r="S57" s="41"/>
      <c r="T57" s="42">
        <f t="shared" si="12"/>
        <v>3500000</v>
      </c>
      <c r="U57" s="26">
        <f t="shared" si="14"/>
        <v>0</v>
      </c>
    </row>
    <row r="58" spans="1:22">
      <c r="A58" s="597">
        <v>202120215</v>
      </c>
      <c r="B58" s="351" t="s">
        <v>97</v>
      </c>
      <c r="C58" s="601">
        <v>1200000</v>
      </c>
      <c r="D58" s="8"/>
      <c r="E58" s="11"/>
      <c r="F58" s="10"/>
      <c r="G58" s="39">
        <f t="shared" si="13"/>
        <v>1200000</v>
      </c>
      <c r="H58" s="41">
        <v>0</v>
      </c>
      <c r="I58" s="41">
        <v>0</v>
      </c>
      <c r="J58" s="41">
        <v>0</v>
      </c>
      <c r="K58" s="40">
        <v>0</v>
      </c>
      <c r="L58" s="41">
        <v>0</v>
      </c>
      <c r="M58" s="41">
        <v>0</v>
      </c>
      <c r="N58" s="41">
        <v>0</v>
      </c>
      <c r="O58" s="41">
        <v>0</v>
      </c>
      <c r="P58" s="41"/>
      <c r="Q58" s="41"/>
      <c r="R58" s="41">
        <v>1200000</v>
      </c>
      <c r="S58" s="41"/>
      <c r="T58" s="42">
        <f t="shared" si="12"/>
        <v>1200000</v>
      </c>
      <c r="U58" s="26">
        <f t="shared" si="14"/>
        <v>0</v>
      </c>
    </row>
    <row r="59" spans="1:22">
      <c r="A59" s="597">
        <v>202120216</v>
      </c>
      <c r="B59" s="602" t="s">
        <v>148</v>
      </c>
      <c r="C59" s="601">
        <v>1000000</v>
      </c>
      <c r="D59" s="8"/>
      <c r="E59" s="11"/>
      <c r="F59" s="10"/>
      <c r="G59" s="39">
        <f t="shared" si="13"/>
        <v>1000000</v>
      </c>
      <c r="H59" s="41">
        <v>0</v>
      </c>
      <c r="I59" s="41">
        <v>0</v>
      </c>
      <c r="J59" s="41">
        <v>0</v>
      </c>
      <c r="K59" s="40">
        <v>0</v>
      </c>
      <c r="L59" s="41">
        <v>0</v>
      </c>
      <c r="M59" s="41">
        <v>0</v>
      </c>
      <c r="N59" s="41">
        <v>0</v>
      </c>
      <c r="O59" s="41">
        <v>0</v>
      </c>
      <c r="P59" s="41"/>
      <c r="Q59" s="41"/>
      <c r="R59" s="41"/>
      <c r="S59" s="41">
        <v>1000000</v>
      </c>
      <c r="T59" s="42">
        <f t="shared" si="12"/>
        <v>1000000</v>
      </c>
      <c r="U59" s="26">
        <f t="shared" si="14"/>
        <v>0</v>
      </c>
    </row>
    <row r="60" spans="1:22">
      <c r="A60" s="596">
        <v>2021103</v>
      </c>
      <c r="B60" s="593" t="s">
        <v>134</v>
      </c>
      <c r="C60" s="101">
        <f>SUM(C61:C64)</f>
        <v>83629741</v>
      </c>
      <c r="D60" s="101">
        <f>SUM(D61:D64)</f>
        <v>0</v>
      </c>
      <c r="E60" s="101">
        <f>SUM(E61:E64)</f>
        <v>0</v>
      </c>
      <c r="F60" s="103">
        <f>SUM(F61:F64)</f>
        <v>0</v>
      </c>
      <c r="G60" s="103">
        <f>ROUND(SUM(G61:G64),0)</f>
        <v>83629741</v>
      </c>
      <c r="H60" s="103">
        <f t="shared" ref="H60:S60" si="15">ROUND(SUM(H61:H64),0)</f>
        <v>4733687</v>
      </c>
      <c r="I60" s="103">
        <f t="shared" si="15"/>
        <v>4284733</v>
      </c>
      <c r="J60" s="103">
        <f t="shared" si="15"/>
        <v>5035806</v>
      </c>
      <c r="K60" s="103">
        <f t="shared" si="15"/>
        <v>5642191</v>
      </c>
      <c r="L60" s="103">
        <f t="shared" si="15"/>
        <v>4152184</v>
      </c>
      <c r="M60" s="103">
        <f t="shared" si="15"/>
        <v>4152184</v>
      </c>
      <c r="N60" s="103">
        <f t="shared" si="15"/>
        <v>4134793</v>
      </c>
      <c r="O60" s="103">
        <f t="shared" si="15"/>
        <v>5890924</v>
      </c>
      <c r="P60" s="103">
        <f t="shared" si="15"/>
        <v>4456281</v>
      </c>
      <c r="Q60" s="103">
        <f t="shared" si="15"/>
        <v>4686654</v>
      </c>
      <c r="R60" s="103">
        <f t="shared" si="15"/>
        <v>4456281</v>
      </c>
      <c r="S60" s="103">
        <f t="shared" si="15"/>
        <v>32004023</v>
      </c>
      <c r="T60" s="103">
        <f>SUM(T61:T64)</f>
        <v>83629741</v>
      </c>
      <c r="U60" s="26">
        <f t="shared" si="14"/>
        <v>0</v>
      </c>
    </row>
    <row r="61" spans="1:22">
      <c r="A61" s="597">
        <v>202110301</v>
      </c>
      <c r="B61" s="351" t="s">
        <v>71</v>
      </c>
      <c r="C61" s="603">
        <v>16000083</v>
      </c>
      <c r="D61" s="8"/>
      <c r="E61" s="9"/>
      <c r="F61" s="10"/>
      <c r="G61" s="39">
        <f t="shared" si="13"/>
        <v>16000083</v>
      </c>
      <c r="H61" s="40">
        <v>0</v>
      </c>
      <c r="I61" s="5">
        <v>0</v>
      </c>
      <c r="J61" s="5"/>
      <c r="K61" s="40">
        <v>1365627</v>
      </c>
      <c r="L61" s="5">
        <v>0</v>
      </c>
      <c r="M61" s="5"/>
      <c r="N61" s="5">
        <v>75110</v>
      </c>
      <c r="O61" s="41"/>
      <c r="P61" s="41"/>
      <c r="Q61" s="41"/>
      <c r="R61" s="41"/>
      <c r="S61" s="41">
        <v>14559346</v>
      </c>
      <c r="T61" s="42">
        <f>SUM(H61:S61)</f>
        <v>16000083</v>
      </c>
      <c r="U61" s="26">
        <f t="shared" si="14"/>
        <v>0</v>
      </c>
    </row>
    <row r="62" spans="1:22">
      <c r="A62" s="597">
        <v>202110302</v>
      </c>
      <c r="B62" s="351" t="s">
        <v>73</v>
      </c>
      <c r="C62" s="603">
        <v>46429658</v>
      </c>
      <c r="D62" s="8"/>
      <c r="E62" s="9"/>
      <c r="F62" s="10"/>
      <c r="G62" s="39">
        <f t="shared" si="13"/>
        <v>46429658</v>
      </c>
      <c r="H62" s="40">
        <v>3091802</v>
      </c>
      <c r="I62" s="40">
        <v>3402640</v>
      </c>
      <c r="J62" s="40">
        <v>3869139</v>
      </c>
      <c r="K62" s="40">
        <v>3230596</v>
      </c>
      <c r="L62" s="40">
        <v>3270091</v>
      </c>
      <c r="M62" s="4">
        <v>3270091</v>
      </c>
      <c r="N62" s="40">
        <v>3359765</v>
      </c>
      <c r="O62" s="40">
        <v>4824967</v>
      </c>
      <c r="P62" s="4">
        <v>3735662</v>
      </c>
      <c r="Q62" s="4">
        <v>3735662</v>
      </c>
      <c r="R62" s="4">
        <v>3735662</v>
      </c>
      <c r="S62" s="4">
        <v>6903581</v>
      </c>
      <c r="T62" s="42">
        <f>SUM(H62:S62)</f>
        <v>46429658</v>
      </c>
      <c r="U62" s="26">
        <f t="shared" si="14"/>
        <v>0</v>
      </c>
      <c r="V62" s="26"/>
    </row>
    <row r="63" spans="1:22">
      <c r="A63" s="597">
        <v>202110304</v>
      </c>
      <c r="B63" s="351" t="s">
        <v>74</v>
      </c>
      <c r="C63" s="603">
        <v>14000000</v>
      </c>
      <c r="D63" s="8"/>
      <c r="E63" s="9"/>
      <c r="F63" s="10"/>
      <c r="G63" s="39">
        <f t="shared" si="13"/>
        <v>14000000</v>
      </c>
      <c r="H63" s="40">
        <v>1141885</v>
      </c>
      <c r="I63" s="40">
        <v>882093</v>
      </c>
      <c r="J63" s="40">
        <v>1166667</v>
      </c>
      <c r="K63" s="2">
        <v>882093</v>
      </c>
      <c r="L63" s="40">
        <v>882093</v>
      </c>
      <c r="M63" s="4">
        <v>882093</v>
      </c>
      <c r="N63" s="40">
        <v>690904</v>
      </c>
      <c r="O63" s="40">
        <v>1065957</v>
      </c>
      <c r="P63" s="4">
        <v>720619</v>
      </c>
      <c r="Q63" s="4">
        <v>720619</v>
      </c>
      <c r="R63" s="4">
        <v>720619</v>
      </c>
      <c r="S63" s="4">
        <v>4244358</v>
      </c>
      <c r="T63" s="42">
        <f>SUM(H63:S63)</f>
        <v>14000000</v>
      </c>
      <c r="U63" s="26">
        <f t="shared" si="14"/>
        <v>0</v>
      </c>
    </row>
    <row r="64" spans="1:22">
      <c r="A64" s="597">
        <v>202110305</v>
      </c>
      <c r="B64" s="351" t="s">
        <v>75</v>
      </c>
      <c r="C64" s="603">
        <v>7200000</v>
      </c>
      <c r="D64" s="8"/>
      <c r="E64" s="9"/>
      <c r="F64" s="10"/>
      <c r="G64" s="39">
        <f t="shared" si="13"/>
        <v>7200000</v>
      </c>
      <c r="H64" s="46">
        <v>500000</v>
      </c>
      <c r="I64" s="4">
        <v>0</v>
      </c>
      <c r="J64" s="4">
        <v>0</v>
      </c>
      <c r="K64" s="4">
        <v>163875</v>
      </c>
      <c r="L64" s="4">
        <v>0</v>
      </c>
      <c r="M64" s="4"/>
      <c r="N64" s="4">
        <v>9014</v>
      </c>
      <c r="O64" s="4">
        <v>0</v>
      </c>
      <c r="P64" s="4">
        <v>0</v>
      </c>
      <c r="Q64" s="4">
        <v>230373</v>
      </c>
      <c r="R64" s="4"/>
      <c r="S64" s="41">
        <v>6296738</v>
      </c>
      <c r="T64" s="42">
        <f>SUM(H64:S64)</f>
        <v>7200000</v>
      </c>
      <c r="U64" s="26">
        <f t="shared" si="14"/>
        <v>0</v>
      </c>
    </row>
    <row r="65" spans="1:21">
      <c r="A65" s="596">
        <v>2021104</v>
      </c>
      <c r="B65" s="593" t="s">
        <v>135</v>
      </c>
      <c r="C65" s="101">
        <f>SUM(C66:C75)</f>
        <v>177100000</v>
      </c>
      <c r="D65" s="101">
        <f>SUM(D66:D75)</f>
        <v>0</v>
      </c>
      <c r="E65" s="101">
        <f>SUM(E66:E75)</f>
        <v>0</v>
      </c>
      <c r="F65" s="101">
        <f>SUM(F66:F75)</f>
        <v>46000000</v>
      </c>
      <c r="G65" s="104">
        <f>SUM(G66:G75)</f>
        <v>131100000</v>
      </c>
      <c r="H65" s="104">
        <f t="shared" ref="H65:S65" si="16">SUM(H66:H75)</f>
        <v>6544704</v>
      </c>
      <c r="I65" s="104">
        <f t="shared" si="16"/>
        <v>7937107</v>
      </c>
      <c r="J65" s="104">
        <f t="shared" si="16"/>
        <v>8338764</v>
      </c>
      <c r="K65" s="104">
        <f t="shared" si="16"/>
        <v>7300190</v>
      </c>
      <c r="L65" s="104">
        <f t="shared" si="16"/>
        <v>7402315</v>
      </c>
      <c r="M65" s="104">
        <f t="shared" si="16"/>
        <v>7402015</v>
      </c>
      <c r="N65" s="104">
        <f t="shared" si="16"/>
        <v>8093469</v>
      </c>
      <c r="O65" s="104">
        <f t="shared" si="16"/>
        <v>11215539</v>
      </c>
      <c r="P65" s="104">
        <f t="shared" si="16"/>
        <v>8941111</v>
      </c>
      <c r="Q65" s="104">
        <f t="shared" si="16"/>
        <v>8941111</v>
      </c>
      <c r="R65" s="104">
        <f t="shared" si="16"/>
        <v>8941111</v>
      </c>
      <c r="S65" s="104">
        <f t="shared" si="16"/>
        <v>40042564</v>
      </c>
      <c r="T65" s="104">
        <f>SUM(T66:T75)</f>
        <v>131100000</v>
      </c>
      <c r="U65" s="26">
        <f t="shared" si="14"/>
        <v>0</v>
      </c>
    </row>
    <row r="66" spans="1:21">
      <c r="A66" s="598">
        <v>202110401</v>
      </c>
      <c r="B66" s="351" t="s">
        <v>78</v>
      </c>
      <c r="C66" s="599">
        <v>56000000</v>
      </c>
      <c r="D66" s="8"/>
      <c r="E66" s="9"/>
      <c r="F66" s="10">
        <v>46000000</v>
      </c>
      <c r="G66" s="39">
        <f>ROUND((C66+D66+E66-F66),0)</f>
        <v>10000000</v>
      </c>
      <c r="H66" s="2">
        <v>0</v>
      </c>
      <c r="I66" s="2">
        <v>102050</v>
      </c>
      <c r="J66" s="2">
        <v>1166667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/>
      <c r="S66" s="41">
        <v>8731283</v>
      </c>
      <c r="T66" s="42">
        <f t="shared" ref="T66:T75" si="17">ROUND(SUM(H66:S66),0)</f>
        <v>10000000</v>
      </c>
      <c r="U66" s="26">
        <f t="shared" si="14"/>
        <v>0</v>
      </c>
    </row>
    <row r="67" spans="1:21">
      <c r="A67" s="597">
        <v>202110402</v>
      </c>
      <c r="B67" s="351" t="s">
        <v>73</v>
      </c>
      <c r="C67" s="599">
        <v>0</v>
      </c>
      <c r="D67" s="8"/>
      <c r="E67" s="9"/>
      <c r="F67" s="10"/>
      <c r="G67" s="39">
        <f t="shared" ref="G67:G75" si="18">ROUND((C67+D67+E67-F67),0)</f>
        <v>0</v>
      </c>
      <c r="H67" s="40">
        <v>0</v>
      </c>
      <c r="I67" s="40">
        <v>0</v>
      </c>
      <c r="J67" s="40"/>
      <c r="K67" s="40"/>
      <c r="L67" s="40">
        <v>0</v>
      </c>
      <c r="M67" s="40">
        <v>0</v>
      </c>
      <c r="N67" s="40">
        <v>0</v>
      </c>
      <c r="O67" s="40"/>
      <c r="P67" s="40"/>
      <c r="Q67" s="40"/>
      <c r="R67" s="41"/>
      <c r="S67" s="41"/>
      <c r="T67" s="42">
        <f t="shared" si="17"/>
        <v>0</v>
      </c>
      <c r="U67" s="26">
        <f t="shared" si="14"/>
        <v>0</v>
      </c>
    </row>
    <row r="68" spans="1:21">
      <c r="A68" s="597">
        <v>202110403</v>
      </c>
      <c r="B68" s="351" t="s">
        <v>81</v>
      </c>
      <c r="C68" s="599">
        <v>3900000</v>
      </c>
      <c r="D68" s="8"/>
      <c r="E68" s="9"/>
      <c r="F68" s="10"/>
      <c r="G68" s="39">
        <f t="shared" si="18"/>
        <v>3900000</v>
      </c>
      <c r="H68" s="40">
        <v>182400</v>
      </c>
      <c r="I68" s="40">
        <v>209300</v>
      </c>
      <c r="J68" s="40">
        <v>191100</v>
      </c>
      <c r="K68" s="4">
        <v>198700</v>
      </c>
      <c r="L68" s="40">
        <v>201500</v>
      </c>
      <c r="M68" s="40">
        <v>201200</v>
      </c>
      <c r="N68" s="40">
        <v>206600</v>
      </c>
      <c r="O68" s="40">
        <v>296600</v>
      </c>
      <c r="P68" s="4">
        <v>229300</v>
      </c>
      <c r="Q68" s="4">
        <v>229300</v>
      </c>
      <c r="R68" s="4">
        <v>229300</v>
      </c>
      <c r="S68" s="4">
        <v>1524700</v>
      </c>
      <c r="T68" s="42">
        <f t="shared" si="17"/>
        <v>3900000</v>
      </c>
      <c r="U68" s="26">
        <f t="shared" si="14"/>
        <v>0</v>
      </c>
    </row>
    <row r="69" spans="1:21">
      <c r="A69" s="597">
        <v>202110404</v>
      </c>
      <c r="B69" s="351" t="s">
        <v>74</v>
      </c>
      <c r="C69" s="599">
        <v>52000000</v>
      </c>
      <c r="D69" s="8"/>
      <c r="E69" s="9"/>
      <c r="F69" s="10"/>
      <c r="G69" s="39">
        <f t="shared" si="18"/>
        <v>52000000</v>
      </c>
      <c r="H69" s="40">
        <v>3223204</v>
      </c>
      <c r="I69" s="40">
        <v>4021257</v>
      </c>
      <c r="J69" s="40">
        <v>3691397</v>
      </c>
      <c r="K69" s="366">
        <v>3678990</v>
      </c>
      <c r="L69" s="40">
        <v>3735915</v>
      </c>
      <c r="M69" s="40">
        <v>3735915</v>
      </c>
      <c r="N69" s="40">
        <v>4011369</v>
      </c>
      <c r="O69" s="40">
        <v>5808039</v>
      </c>
      <c r="P69" s="366">
        <v>4452811</v>
      </c>
      <c r="Q69" s="366">
        <v>4452811</v>
      </c>
      <c r="R69" s="366">
        <v>4452811</v>
      </c>
      <c r="S69" s="366">
        <v>6735481</v>
      </c>
      <c r="T69" s="42">
        <f t="shared" si="17"/>
        <v>52000000</v>
      </c>
      <c r="U69" s="26">
        <f t="shared" si="14"/>
        <v>0</v>
      </c>
    </row>
    <row r="70" spans="1:21">
      <c r="A70" s="597">
        <v>202110405</v>
      </c>
      <c r="B70" s="351" t="s">
        <v>84</v>
      </c>
      <c r="C70" s="599">
        <v>27000000</v>
      </c>
      <c r="D70" s="8"/>
      <c r="E70" s="9"/>
      <c r="F70" s="10"/>
      <c r="G70" s="39">
        <f t="shared" si="18"/>
        <v>27000000</v>
      </c>
      <c r="H70" s="40">
        <v>1394700</v>
      </c>
      <c r="I70" s="40">
        <v>1601500</v>
      </c>
      <c r="J70" s="40">
        <v>1461400</v>
      </c>
      <c r="K70" s="4">
        <v>1520600</v>
      </c>
      <c r="L70" s="40">
        <v>1539500</v>
      </c>
      <c r="M70" s="40">
        <v>1539500</v>
      </c>
      <c r="N70" s="40">
        <v>1721900</v>
      </c>
      <c r="O70" s="40">
        <v>2270900</v>
      </c>
      <c r="P70" s="4">
        <v>1892500</v>
      </c>
      <c r="Q70" s="4">
        <v>1892500</v>
      </c>
      <c r="R70" s="4">
        <v>1892500</v>
      </c>
      <c r="S70" s="4">
        <v>8272500</v>
      </c>
      <c r="T70" s="42">
        <f t="shared" si="17"/>
        <v>27000000</v>
      </c>
      <c r="U70" s="26">
        <f t="shared" si="14"/>
        <v>0</v>
      </c>
    </row>
    <row r="71" spans="1:21">
      <c r="A71" s="597">
        <v>202110406</v>
      </c>
      <c r="B71" s="351" t="s">
        <v>86</v>
      </c>
      <c r="C71" s="599">
        <v>23000000</v>
      </c>
      <c r="D71" s="8"/>
      <c r="E71" s="9"/>
      <c r="F71" s="10"/>
      <c r="G71" s="39">
        <f t="shared" si="18"/>
        <v>23000000</v>
      </c>
      <c r="H71" s="40">
        <v>1045900</v>
      </c>
      <c r="I71" s="40">
        <v>1201000</v>
      </c>
      <c r="J71" s="40">
        <v>1096000</v>
      </c>
      <c r="K71" s="4">
        <v>1140300</v>
      </c>
      <c r="L71" s="40">
        <v>1154500</v>
      </c>
      <c r="M71" s="40">
        <v>1154500</v>
      </c>
      <c r="N71" s="40">
        <v>1291400</v>
      </c>
      <c r="O71" s="40">
        <v>1703400</v>
      </c>
      <c r="P71" s="4">
        <v>1419300</v>
      </c>
      <c r="Q71" s="4">
        <v>1419300</v>
      </c>
      <c r="R71" s="4">
        <v>1419300</v>
      </c>
      <c r="S71" s="4">
        <v>8955100</v>
      </c>
      <c r="T71" s="42">
        <f t="shared" si="17"/>
        <v>23000000</v>
      </c>
      <c r="U71" s="26">
        <f t="shared" si="14"/>
        <v>0</v>
      </c>
    </row>
    <row r="72" spans="1:21">
      <c r="A72" s="597">
        <v>202110407</v>
      </c>
      <c r="B72" s="351" t="s">
        <v>88</v>
      </c>
      <c r="C72" s="599">
        <v>4000000</v>
      </c>
      <c r="D72" s="8"/>
      <c r="E72" s="9"/>
      <c r="F72" s="10"/>
      <c r="G72" s="39">
        <f t="shared" si="18"/>
        <v>4000000</v>
      </c>
      <c r="H72" s="40">
        <v>174800</v>
      </c>
      <c r="I72" s="40">
        <v>200700</v>
      </c>
      <c r="J72" s="40">
        <v>183200</v>
      </c>
      <c r="K72" s="4">
        <v>190600</v>
      </c>
      <c r="L72" s="40">
        <v>192900</v>
      </c>
      <c r="M72" s="40">
        <v>192900</v>
      </c>
      <c r="N72" s="40">
        <v>215700</v>
      </c>
      <c r="O72" s="40">
        <v>284200</v>
      </c>
      <c r="P72" s="4">
        <v>236900</v>
      </c>
      <c r="Q72" s="4">
        <v>236900</v>
      </c>
      <c r="R72" s="4">
        <v>236900</v>
      </c>
      <c r="S72" s="4">
        <v>1654300</v>
      </c>
      <c r="T72" s="42">
        <f t="shared" si="17"/>
        <v>4000000</v>
      </c>
      <c r="U72" s="26">
        <f t="shared" si="14"/>
        <v>0</v>
      </c>
    </row>
    <row r="73" spans="1:21">
      <c r="A73" s="597">
        <v>202110408</v>
      </c>
      <c r="B73" s="351" t="s">
        <v>90</v>
      </c>
      <c r="C73" s="599">
        <v>4000000</v>
      </c>
      <c r="D73" s="8"/>
      <c r="E73" s="9"/>
      <c r="F73" s="10"/>
      <c r="G73" s="39">
        <f t="shared" si="18"/>
        <v>4000000</v>
      </c>
      <c r="H73" s="40">
        <v>174800</v>
      </c>
      <c r="I73" s="40">
        <v>200700</v>
      </c>
      <c r="J73" s="40">
        <v>183200</v>
      </c>
      <c r="K73" s="4">
        <v>190600</v>
      </c>
      <c r="L73" s="40">
        <v>192900</v>
      </c>
      <c r="M73" s="40">
        <v>192900</v>
      </c>
      <c r="N73" s="40">
        <v>215700</v>
      </c>
      <c r="O73" s="40">
        <v>284200</v>
      </c>
      <c r="P73" s="4">
        <v>236900</v>
      </c>
      <c r="Q73" s="4">
        <v>236900</v>
      </c>
      <c r="R73" s="4">
        <v>236900</v>
      </c>
      <c r="S73" s="4">
        <v>1654300</v>
      </c>
      <c r="T73" s="42">
        <f t="shared" si="17"/>
        <v>4000000</v>
      </c>
      <c r="U73" s="26">
        <f t="shared" si="14"/>
        <v>0</v>
      </c>
    </row>
    <row r="74" spans="1:21">
      <c r="A74" s="597">
        <v>202110409</v>
      </c>
      <c r="B74" s="351" t="s">
        <v>92</v>
      </c>
      <c r="C74" s="599">
        <v>7200000</v>
      </c>
      <c r="D74" s="8"/>
      <c r="E74" s="9"/>
      <c r="F74" s="10"/>
      <c r="G74" s="39">
        <f t="shared" si="18"/>
        <v>7200000</v>
      </c>
      <c r="H74" s="40">
        <v>348900</v>
      </c>
      <c r="I74" s="40">
        <v>400600</v>
      </c>
      <c r="J74" s="40">
        <v>365800</v>
      </c>
      <c r="K74" s="4">
        <v>380400</v>
      </c>
      <c r="L74" s="40">
        <v>385100</v>
      </c>
      <c r="M74" s="40">
        <v>385100</v>
      </c>
      <c r="N74" s="40">
        <v>430800</v>
      </c>
      <c r="O74" s="40">
        <v>568200</v>
      </c>
      <c r="P74" s="4">
        <v>473400</v>
      </c>
      <c r="Q74" s="4">
        <v>473400</v>
      </c>
      <c r="R74" s="4">
        <v>473400</v>
      </c>
      <c r="S74" s="4">
        <v>2514900</v>
      </c>
      <c r="T74" s="42">
        <f t="shared" si="17"/>
        <v>7200000</v>
      </c>
      <c r="U74" s="26">
        <f t="shared" si="14"/>
        <v>0</v>
      </c>
    </row>
    <row r="75" spans="1:21">
      <c r="A75" s="597">
        <v>202110410</v>
      </c>
      <c r="B75" s="351" t="s">
        <v>94</v>
      </c>
      <c r="C75" s="599">
        <v>0</v>
      </c>
      <c r="D75" s="8">
        <v>0</v>
      </c>
      <c r="E75" s="9">
        <v>0</v>
      </c>
      <c r="F75" s="10">
        <v>0</v>
      </c>
      <c r="G75" s="39">
        <f t="shared" si="18"/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1">
        <v>0</v>
      </c>
      <c r="R75" s="41">
        <v>0</v>
      </c>
      <c r="S75" s="41">
        <v>0</v>
      </c>
      <c r="T75" s="42">
        <f t="shared" si="17"/>
        <v>0</v>
      </c>
      <c r="U75" s="26">
        <f t="shared" si="14"/>
        <v>0</v>
      </c>
    </row>
    <row r="76" spans="1:21">
      <c r="A76" s="596">
        <v>2021301</v>
      </c>
      <c r="B76" s="593" t="s">
        <v>95</v>
      </c>
      <c r="C76" s="103">
        <f t="shared" ref="C76:T76" si="19">C77</f>
        <v>75000000</v>
      </c>
      <c r="D76" s="104">
        <f t="shared" si="19"/>
        <v>0</v>
      </c>
      <c r="E76" s="104">
        <f t="shared" si="19"/>
        <v>0</v>
      </c>
      <c r="F76" s="104">
        <f t="shared" si="19"/>
        <v>0</v>
      </c>
      <c r="G76" s="104">
        <f t="shared" si="19"/>
        <v>75000000</v>
      </c>
      <c r="H76" s="101">
        <f t="shared" si="19"/>
        <v>0</v>
      </c>
      <c r="I76" s="101">
        <f t="shared" si="19"/>
        <v>0</v>
      </c>
      <c r="J76" s="101">
        <f t="shared" si="19"/>
        <v>31645000</v>
      </c>
      <c r="K76" s="101">
        <f t="shared" si="19"/>
        <v>0</v>
      </c>
      <c r="L76" s="101">
        <f t="shared" si="19"/>
        <v>0</v>
      </c>
      <c r="M76" s="101">
        <f t="shared" si="19"/>
        <v>31000000</v>
      </c>
      <c r="N76" s="101">
        <f t="shared" si="19"/>
        <v>0</v>
      </c>
      <c r="O76" s="101">
        <f t="shared" si="19"/>
        <v>0</v>
      </c>
      <c r="P76" s="101">
        <f t="shared" si="19"/>
        <v>0</v>
      </c>
      <c r="Q76" s="101">
        <f t="shared" si="19"/>
        <v>0</v>
      </c>
      <c r="R76" s="101">
        <f t="shared" si="19"/>
        <v>0</v>
      </c>
      <c r="S76" s="101">
        <f t="shared" si="19"/>
        <v>12355000</v>
      </c>
      <c r="T76" s="101">
        <f t="shared" si="19"/>
        <v>75000000</v>
      </c>
      <c r="U76" s="26">
        <f t="shared" si="14"/>
        <v>0</v>
      </c>
    </row>
    <row r="77" spans="1:21" ht="13.5" thickBot="1">
      <c r="A77" s="597">
        <v>202130101</v>
      </c>
      <c r="B77" s="594" t="s">
        <v>142</v>
      </c>
      <c r="C77" s="604">
        <v>75000000</v>
      </c>
      <c r="D77" s="255"/>
      <c r="E77" s="256"/>
      <c r="F77" s="257"/>
      <c r="G77" s="107">
        <f t="shared" si="13"/>
        <v>75000000</v>
      </c>
      <c r="H77" s="108"/>
      <c r="I77" s="108">
        <v>0</v>
      </c>
      <c r="J77" s="108">
        <v>31645000</v>
      </c>
      <c r="K77" s="108">
        <v>0</v>
      </c>
      <c r="L77" s="108">
        <v>0</v>
      </c>
      <c r="M77" s="108">
        <v>31000000</v>
      </c>
      <c r="N77" s="108"/>
      <c r="O77" s="108"/>
      <c r="P77" s="108"/>
      <c r="Q77" s="108"/>
      <c r="R77" s="108"/>
      <c r="S77" s="108">
        <v>12355000</v>
      </c>
      <c r="T77" s="42">
        <f>ROUND(SUM(H77:S77),0)</f>
        <v>75000000</v>
      </c>
      <c r="U77" s="26">
        <f t="shared" si="14"/>
        <v>0</v>
      </c>
    </row>
    <row r="78" spans="1:21">
      <c r="A78" s="101"/>
      <c r="B78" s="101" t="s">
        <v>136</v>
      </c>
      <c r="C78" s="104">
        <f>C65+C60+C43+C38+C33+C23+C76</f>
        <v>1155126065</v>
      </c>
      <c r="D78" s="104">
        <f>D65+D60+D43+D38+D33+D23+D76</f>
        <v>167244166</v>
      </c>
      <c r="E78" s="104">
        <f>E65+E60+E43+E38+E33+E23+E76</f>
        <v>121000000</v>
      </c>
      <c r="F78" s="104">
        <f>F65+F60+F43+F38+F33+F23+F76</f>
        <v>121000000</v>
      </c>
      <c r="G78" s="104">
        <f>G65+G60+G43+G38+G33+G23+G76</f>
        <v>1322370231</v>
      </c>
      <c r="H78" s="104">
        <f t="shared" ref="H78:O78" si="20">H65+H60+H43+H38+H33+H23</f>
        <v>51097228</v>
      </c>
      <c r="I78" s="104">
        <f t="shared" si="20"/>
        <v>68877003</v>
      </c>
      <c r="J78" s="104">
        <f t="shared" si="20"/>
        <v>72034815</v>
      </c>
      <c r="K78" s="104">
        <f t="shared" si="20"/>
        <v>74782876</v>
      </c>
      <c r="L78" s="104">
        <f t="shared" si="20"/>
        <v>59512510</v>
      </c>
      <c r="M78" s="104">
        <f t="shared" si="20"/>
        <v>72068327</v>
      </c>
      <c r="N78" s="104">
        <f t="shared" si="20"/>
        <v>94629512</v>
      </c>
      <c r="O78" s="104">
        <f t="shared" si="20"/>
        <v>99618107</v>
      </c>
      <c r="P78" s="104">
        <f>P65+P60+P43+P38+P33+P23+P76</f>
        <v>125505066</v>
      </c>
      <c r="Q78" s="104">
        <f>Q65+Q60+Q43+Q38+Q33+Q23</f>
        <v>170226434</v>
      </c>
      <c r="R78" s="104">
        <f>R65+R60+R43+R38+R33+R23</f>
        <v>133825454</v>
      </c>
      <c r="S78" s="104">
        <f>S23+S33+S38+S43+S60+S65+S76</f>
        <v>237547899</v>
      </c>
      <c r="T78" s="104">
        <f>T76+T65+T60+T43+T38+T33+T23</f>
        <v>1322370231</v>
      </c>
      <c r="U78" s="26">
        <f t="shared" si="14"/>
        <v>0</v>
      </c>
    </row>
    <row r="79" spans="1:21">
      <c r="B79" s="16"/>
      <c r="C79" s="17"/>
      <c r="D79" s="18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9"/>
    </row>
    <row r="80" spans="1:21">
      <c r="B80" s="16"/>
      <c r="C80" s="17"/>
      <c r="D80" s="16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9"/>
    </row>
    <row r="81" spans="2:20">
      <c r="B81" s="16"/>
      <c r="C81" s="12"/>
      <c r="D81" s="16"/>
      <c r="E81" s="12"/>
      <c r="G81" s="28" t="s">
        <v>139</v>
      </c>
      <c r="H81" s="12"/>
      <c r="I81" s="12"/>
      <c r="J81" s="12"/>
      <c r="K81" s="12"/>
      <c r="L81" s="12"/>
      <c r="M81" s="12"/>
      <c r="N81" s="12"/>
      <c r="O81" s="12"/>
      <c r="P81" s="28" t="s">
        <v>190</v>
      </c>
      <c r="Q81" s="12"/>
      <c r="R81" s="12"/>
      <c r="S81" s="12"/>
      <c r="T81" s="47"/>
    </row>
    <row r="82" spans="2:20">
      <c r="B82" s="16"/>
      <c r="C82" s="106"/>
      <c r="D82" s="16"/>
      <c r="E82" s="12"/>
      <c r="G82" s="48" t="s">
        <v>141</v>
      </c>
      <c r="H82" s="12"/>
      <c r="I82" s="12"/>
      <c r="J82" s="12"/>
      <c r="K82" s="12"/>
      <c r="L82" s="12"/>
      <c r="M82" s="12"/>
      <c r="N82" s="12"/>
      <c r="O82" s="12"/>
      <c r="P82" s="12" t="s">
        <v>138</v>
      </c>
      <c r="Q82" s="28"/>
      <c r="R82" s="12"/>
      <c r="S82" s="12"/>
      <c r="T82" s="47"/>
    </row>
    <row r="83" spans="2:20" ht="13.5" thickBot="1">
      <c r="B83" s="29"/>
      <c r="C83" s="49"/>
      <c r="D83" s="29"/>
      <c r="E83" s="49"/>
      <c r="F83" s="50"/>
      <c r="G83" s="50"/>
      <c r="H83" s="49"/>
      <c r="I83" s="49"/>
      <c r="J83" s="49"/>
      <c r="K83" s="49"/>
      <c r="L83" s="49"/>
      <c r="M83" s="49"/>
      <c r="N83" s="49"/>
      <c r="O83" s="49"/>
      <c r="P83" s="51"/>
      <c r="Q83" s="49"/>
      <c r="R83" s="49"/>
      <c r="S83" s="49"/>
      <c r="T83" s="52"/>
    </row>
    <row r="85" spans="2:20">
      <c r="T85" s="191"/>
    </row>
    <row r="87" spans="2:20">
      <c r="G87" s="26"/>
    </row>
    <row r="88" spans="2:20">
      <c r="F88" s="191">
        <f>+E78-F78</f>
        <v>0</v>
      </c>
    </row>
    <row r="89" spans="2:20">
      <c r="G89" s="26"/>
    </row>
    <row r="92" spans="2:20">
      <c r="G92" s="26"/>
    </row>
  </sheetData>
  <mergeCells count="5">
    <mergeCell ref="B2:T2"/>
    <mergeCell ref="B3:T3"/>
    <mergeCell ref="B4:T4"/>
    <mergeCell ref="A21:A22"/>
    <mergeCell ref="B21:B22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9"/>
  <sheetViews>
    <sheetView zoomScaleNormal="100" zoomScaleSheetLayoutView="30" workbookViewId="0">
      <pane ySplit="1" topLeftCell="A367" activePane="bottomLeft" state="frozen"/>
      <selection activeCell="J228" sqref="J228"/>
      <selection pane="bottomLeft" activeCell="J228" sqref="J228"/>
    </sheetView>
  </sheetViews>
  <sheetFormatPr baseColWidth="10" defaultRowHeight="12.75"/>
  <cols>
    <col min="1" max="1" width="4.125" style="13" customWidth="1"/>
    <col min="2" max="2" width="11" style="212"/>
    <col min="3" max="3" width="12.75" style="110" customWidth="1"/>
    <col min="4" max="4" width="36.125" style="13" customWidth="1"/>
    <col min="5" max="5" width="19" style="13" customWidth="1"/>
    <col min="6" max="8" width="16.375" style="13" customWidth="1"/>
    <col min="9" max="9" width="18.375" style="13" bestFit="1" customWidth="1"/>
    <col min="10" max="10" width="21.875" style="198" customWidth="1"/>
    <col min="11" max="11" width="18.375" style="13" bestFit="1" customWidth="1"/>
    <col min="12" max="12" width="13.375" style="13" bestFit="1" customWidth="1"/>
    <col min="13" max="13" width="14.875" style="13" bestFit="1" customWidth="1"/>
    <col min="14" max="246" width="11" style="13"/>
    <col min="247" max="247" width="51" style="13" customWidth="1"/>
    <col min="248" max="248" width="19" style="13" customWidth="1"/>
    <col min="249" max="249" width="15.375" style="13" customWidth="1"/>
    <col min="250" max="250" width="14.5" style="13" customWidth="1"/>
    <col min="251" max="251" width="19.75" style="13" customWidth="1"/>
    <col min="252" max="252" width="20.5" style="13" customWidth="1"/>
    <col min="253" max="253" width="15.25" style="13" customWidth="1"/>
    <col min="254" max="254" width="15.625" style="13" customWidth="1"/>
    <col min="255" max="255" width="15.625" style="13" bestFit="1" customWidth="1"/>
    <col min="256" max="256" width="14.875" style="13" customWidth="1"/>
    <col min="257" max="257" width="15.625" style="13" bestFit="1" customWidth="1"/>
    <col min="258" max="258" width="15" style="13" customWidth="1"/>
    <col min="259" max="259" width="15.625" style="13" bestFit="1" customWidth="1"/>
    <col min="260" max="260" width="15.875" style="13" customWidth="1"/>
    <col min="261" max="261" width="16.25" style="13" customWidth="1"/>
    <col min="262" max="262" width="16.75" style="13" customWidth="1"/>
    <col min="263" max="263" width="14.875" style="13" customWidth="1"/>
    <col min="264" max="264" width="19.625" style="13" bestFit="1" customWidth="1"/>
    <col min="265" max="265" width="21.875" style="13" customWidth="1"/>
    <col min="266" max="502" width="11" style="13"/>
    <col min="503" max="503" width="51" style="13" customWidth="1"/>
    <col min="504" max="504" width="19" style="13" customWidth="1"/>
    <col min="505" max="505" width="15.375" style="13" customWidth="1"/>
    <col min="506" max="506" width="14.5" style="13" customWidth="1"/>
    <col min="507" max="507" width="19.75" style="13" customWidth="1"/>
    <col min="508" max="508" width="20.5" style="13" customWidth="1"/>
    <col min="509" max="509" width="15.25" style="13" customWidth="1"/>
    <col min="510" max="510" width="15.625" style="13" customWidth="1"/>
    <col min="511" max="511" width="15.625" style="13" bestFit="1" customWidth="1"/>
    <col min="512" max="512" width="14.875" style="13" customWidth="1"/>
    <col min="513" max="513" width="15.625" style="13" bestFit="1" customWidth="1"/>
    <col min="514" max="514" width="15" style="13" customWidth="1"/>
    <col min="515" max="515" width="15.625" style="13" bestFit="1" customWidth="1"/>
    <col min="516" max="516" width="15.875" style="13" customWidth="1"/>
    <col min="517" max="517" width="16.25" style="13" customWidth="1"/>
    <col min="518" max="518" width="16.75" style="13" customWidth="1"/>
    <col min="519" max="519" width="14.875" style="13" customWidth="1"/>
    <col min="520" max="520" width="19.625" style="13" bestFit="1" customWidth="1"/>
    <col min="521" max="521" width="21.875" style="13" customWidth="1"/>
    <col min="522" max="758" width="11" style="13"/>
    <col min="759" max="759" width="51" style="13" customWidth="1"/>
    <col min="760" max="760" width="19" style="13" customWidth="1"/>
    <col min="761" max="761" width="15.375" style="13" customWidth="1"/>
    <col min="762" max="762" width="14.5" style="13" customWidth="1"/>
    <col min="763" max="763" width="19.75" style="13" customWidth="1"/>
    <col min="764" max="764" width="20.5" style="13" customWidth="1"/>
    <col min="765" max="765" width="15.25" style="13" customWidth="1"/>
    <col min="766" max="766" width="15.625" style="13" customWidth="1"/>
    <col min="767" max="767" width="15.625" style="13" bestFit="1" customWidth="1"/>
    <col min="768" max="768" width="14.875" style="13" customWidth="1"/>
    <col min="769" max="769" width="15.625" style="13" bestFit="1" customWidth="1"/>
    <col min="770" max="770" width="15" style="13" customWidth="1"/>
    <col min="771" max="771" width="15.625" style="13" bestFit="1" customWidth="1"/>
    <col min="772" max="772" width="15.875" style="13" customWidth="1"/>
    <col min="773" max="773" width="16.25" style="13" customWidth="1"/>
    <col min="774" max="774" width="16.75" style="13" customWidth="1"/>
    <col min="775" max="775" width="14.875" style="13" customWidth="1"/>
    <col min="776" max="776" width="19.625" style="13" bestFit="1" customWidth="1"/>
    <col min="777" max="777" width="21.875" style="13" customWidth="1"/>
    <col min="778" max="1014" width="11" style="13"/>
    <col min="1015" max="1015" width="51" style="13" customWidth="1"/>
    <col min="1016" max="1016" width="19" style="13" customWidth="1"/>
    <col min="1017" max="1017" width="15.375" style="13" customWidth="1"/>
    <col min="1018" max="1018" width="14.5" style="13" customWidth="1"/>
    <col min="1019" max="1019" width="19.75" style="13" customWidth="1"/>
    <col min="1020" max="1020" width="20.5" style="13" customWidth="1"/>
    <col min="1021" max="1021" width="15.25" style="13" customWidth="1"/>
    <col min="1022" max="1022" width="15.625" style="13" customWidth="1"/>
    <col min="1023" max="1023" width="15.625" style="13" bestFit="1" customWidth="1"/>
    <col min="1024" max="1024" width="14.875" style="13" customWidth="1"/>
    <col min="1025" max="1025" width="15.625" style="13" bestFit="1" customWidth="1"/>
    <col min="1026" max="1026" width="15" style="13" customWidth="1"/>
    <col min="1027" max="1027" width="15.625" style="13" bestFit="1" customWidth="1"/>
    <col min="1028" max="1028" width="15.875" style="13" customWidth="1"/>
    <col min="1029" max="1029" width="16.25" style="13" customWidth="1"/>
    <col min="1030" max="1030" width="16.75" style="13" customWidth="1"/>
    <col min="1031" max="1031" width="14.875" style="13" customWidth="1"/>
    <col min="1032" max="1032" width="19.625" style="13" bestFit="1" customWidth="1"/>
    <col min="1033" max="1033" width="21.875" style="13" customWidth="1"/>
    <col min="1034" max="1270" width="11" style="13"/>
    <col min="1271" max="1271" width="51" style="13" customWidth="1"/>
    <col min="1272" max="1272" width="19" style="13" customWidth="1"/>
    <col min="1273" max="1273" width="15.375" style="13" customWidth="1"/>
    <col min="1274" max="1274" width="14.5" style="13" customWidth="1"/>
    <col min="1275" max="1275" width="19.75" style="13" customWidth="1"/>
    <col min="1276" max="1276" width="20.5" style="13" customWidth="1"/>
    <col min="1277" max="1277" width="15.25" style="13" customWidth="1"/>
    <col min="1278" max="1278" width="15.625" style="13" customWidth="1"/>
    <col min="1279" max="1279" width="15.625" style="13" bestFit="1" customWidth="1"/>
    <col min="1280" max="1280" width="14.875" style="13" customWidth="1"/>
    <col min="1281" max="1281" width="15.625" style="13" bestFit="1" customWidth="1"/>
    <col min="1282" max="1282" width="15" style="13" customWidth="1"/>
    <col min="1283" max="1283" width="15.625" style="13" bestFit="1" customWidth="1"/>
    <col min="1284" max="1284" width="15.875" style="13" customWidth="1"/>
    <col min="1285" max="1285" width="16.25" style="13" customWidth="1"/>
    <col min="1286" max="1286" width="16.75" style="13" customWidth="1"/>
    <col min="1287" max="1287" width="14.875" style="13" customWidth="1"/>
    <col min="1288" max="1288" width="19.625" style="13" bestFit="1" customWidth="1"/>
    <col min="1289" max="1289" width="21.875" style="13" customWidth="1"/>
    <col min="1290" max="1526" width="11" style="13"/>
    <col min="1527" max="1527" width="51" style="13" customWidth="1"/>
    <col min="1528" max="1528" width="19" style="13" customWidth="1"/>
    <col min="1529" max="1529" width="15.375" style="13" customWidth="1"/>
    <col min="1530" max="1530" width="14.5" style="13" customWidth="1"/>
    <col min="1531" max="1531" width="19.75" style="13" customWidth="1"/>
    <col min="1532" max="1532" width="20.5" style="13" customWidth="1"/>
    <col min="1533" max="1533" width="15.25" style="13" customWidth="1"/>
    <col min="1534" max="1534" width="15.625" style="13" customWidth="1"/>
    <col min="1535" max="1535" width="15.625" style="13" bestFit="1" customWidth="1"/>
    <col min="1536" max="1536" width="14.875" style="13" customWidth="1"/>
    <col min="1537" max="1537" width="15.625" style="13" bestFit="1" customWidth="1"/>
    <col min="1538" max="1538" width="15" style="13" customWidth="1"/>
    <col min="1539" max="1539" width="15.625" style="13" bestFit="1" customWidth="1"/>
    <col min="1540" max="1540" width="15.875" style="13" customWidth="1"/>
    <col min="1541" max="1541" width="16.25" style="13" customWidth="1"/>
    <col min="1542" max="1542" width="16.75" style="13" customWidth="1"/>
    <col min="1543" max="1543" width="14.875" style="13" customWidth="1"/>
    <col min="1544" max="1544" width="19.625" style="13" bestFit="1" customWidth="1"/>
    <col min="1545" max="1545" width="21.875" style="13" customWidth="1"/>
    <col min="1546" max="1782" width="11" style="13"/>
    <col min="1783" max="1783" width="51" style="13" customWidth="1"/>
    <col min="1784" max="1784" width="19" style="13" customWidth="1"/>
    <col min="1785" max="1785" width="15.375" style="13" customWidth="1"/>
    <col min="1786" max="1786" width="14.5" style="13" customWidth="1"/>
    <col min="1787" max="1787" width="19.75" style="13" customWidth="1"/>
    <col min="1788" max="1788" width="20.5" style="13" customWidth="1"/>
    <col min="1789" max="1789" width="15.25" style="13" customWidth="1"/>
    <col min="1790" max="1790" width="15.625" style="13" customWidth="1"/>
    <col min="1791" max="1791" width="15.625" style="13" bestFit="1" customWidth="1"/>
    <col min="1792" max="1792" width="14.875" style="13" customWidth="1"/>
    <col min="1793" max="1793" width="15.625" style="13" bestFit="1" customWidth="1"/>
    <col min="1794" max="1794" width="15" style="13" customWidth="1"/>
    <col min="1795" max="1795" width="15.625" style="13" bestFit="1" customWidth="1"/>
    <col min="1796" max="1796" width="15.875" style="13" customWidth="1"/>
    <col min="1797" max="1797" width="16.25" style="13" customWidth="1"/>
    <col min="1798" max="1798" width="16.75" style="13" customWidth="1"/>
    <col min="1799" max="1799" width="14.875" style="13" customWidth="1"/>
    <col min="1800" max="1800" width="19.625" style="13" bestFit="1" customWidth="1"/>
    <col min="1801" max="1801" width="21.875" style="13" customWidth="1"/>
    <col min="1802" max="2038" width="11" style="13"/>
    <col min="2039" max="2039" width="51" style="13" customWidth="1"/>
    <col min="2040" max="2040" width="19" style="13" customWidth="1"/>
    <col min="2041" max="2041" width="15.375" style="13" customWidth="1"/>
    <col min="2042" max="2042" width="14.5" style="13" customWidth="1"/>
    <col min="2043" max="2043" width="19.75" style="13" customWidth="1"/>
    <col min="2044" max="2044" width="20.5" style="13" customWidth="1"/>
    <col min="2045" max="2045" width="15.25" style="13" customWidth="1"/>
    <col min="2046" max="2046" width="15.625" style="13" customWidth="1"/>
    <col min="2047" max="2047" width="15.625" style="13" bestFit="1" customWidth="1"/>
    <col min="2048" max="2048" width="14.875" style="13" customWidth="1"/>
    <col min="2049" max="2049" width="15.625" style="13" bestFit="1" customWidth="1"/>
    <col min="2050" max="2050" width="15" style="13" customWidth="1"/>
    <col min="2051" max="2051" width="15.625" style="13" bestFit="1" customWidth="1"/>
    <col min="2052" max="2052" width="15.875" style="13" customWidth="1"/>
    <col min="2053" max="2053" width="16.25" style="13" customWidth="1"/>
    <col min="2054" max="2054" width="16.75" style="13" customWidth="1"/>
    <col min="2055" max="2055" width="14.875" style="13" customWidth="1"/>
    <col min="2056" max="2056" width="19.625" style="13" bestFit="1" customWidth="1"/>
    <col min="2057" max="2057" width="21.875" style="13" customWidth="1"/>
    <col min="2058" max="2294" width="11" style="13"/>
    <col min="2295" max="2295" width="51" style="13" customWidth="1"/>
    <col min="2296" max="2296" width="19" style="13" customWidth="1"/>
    <col min="2297" max="2297" width="15.375" style="13" customWidth="1"/>
    <col min="2298" max="2298" width="14.5" style="13" customWidth="1"/>
    <col min="2299" max="2299" width="19.75" style="13" customWidth="1"/>
    <col min="2300" max="2300" width="20.5" style="13" customWidth="1"/>
    <col min="2301" max="2301" width="15.25" style="13" customWidth="1"/>
    <col min="2302" max="2302" width="15.625" style="13" customWidth="1"/>
    <col min="2303" max="2303" width="15.625" style="13" bestFit="1" customWidth="1"/>
    <col min="2304" max="2304" width="14.875" style="13" customWidth="1"/>
    <col min="2305" max="2305" width="15.625" style="13" bestFit="1" customWidth="1"/>
    <col min="2306" max="2306" width="15" style="13" customWidth="1"/>
    <col min="2307" max="2307" width="15.625" style="13" bestFit="1" customWidth="1"/>
    <col min="2308" max="2308" width="15.875" style="13" customWidth="1"/>
    <col min="2309" max="2309" width="16.25" style="13" customWidth="1"/>
    <col min="2310" max="2310" width="16.75" style="13" customWidth="1"/>
    <col min="2311" max="2311" width="14.875" style="13" customWidth="1"/>
    <col min="2312" max="2312" width="19.625" style="13" bestFit="1" customWidth="1"/>
    <col min="2313" max="2313" width="21.875" style="13" customWidth="1"/>
    <col min="2314" max="2550" width="11" style="13"/>
    <col min="2551" max="2551" width="51" style="13" customWidth="1"/>
    <col min="2552" max="2552" width="19" style="13" customWidth="1"/>
    <col min="2553" max="2553" width="15.375" style="13" customWidth="1"/>
    <col min="2554" max="2554" width="14.5" style="13" customWidth="1"/>
    <col min="2555" max="2555" width="19.75" style="13" customWidth="1"/>
    <col min="2556" max="2556" width="20.5" style="13" customWidth="1"/>
    <col min="2557" max="2557" width="15.25" style="13" customWidth="1"/>
    <col min="2558" max="2558" width="15.625" style="13" customWidth="1"/>
    <col min="2559" max="2559" width="15.625" style="13" bestFit="1" customWidth="1"/>
    <col min="2560" max="2560" width="14.875" style="13" customWidth="1"/>
    <col min="2561" max="2561" width="15.625" style="13" bestFit="1" customWidth="1"/>
    <col min="2562" max="2562" width="15" style="13" customWidth="1"/>
    <col min="2563" max="2563" width="15.625" style="13" bestFit="1" customWidth="1"/>
    <col min="2564" max="2564" width="15.875" style="13" customWidth="1"/>
    <col min="2565" max="2565" width="16.25" style="13" customWidth="1"/>
    <col min="2566" max="2566" width="16.75" style="13" customWidth="1"/>
    <col min="2567" max="2567" width="14.875" style="13" customWidth="1"/>
    <col min="2568" max="2568" width="19.625" style="13" bestFit="1" customWidth="1"/>
    <col min="2569" max="2569" width="21.875" style="13" customWidth="1"/>
    <col min="2570" max="2806" width="11" style="13"/>
    <col min="2807" max="2807" width="51" style="13" customWidth="1"/>
    <col min="2808" max="2808" width="19" style="13" customWidth="1"/>
    <col min="2809" max="2809" width="15.375" style="13" customWidth="1"/>
    <col min="2810" max="2810" width="14.5" style="13" customWidth="1"/>
    <col min="2811" max="2811" width="19.75" style="13" customWidth="1"/>
    <col min="2812" max="2812" width="20.5" style="13" customWidth="1"/>
    <col min="2813" max="2813" width="15.25" style="13" customWidth="1"/>
    <col min="2814" max="2814" width="15.625" style="13" customWidth="1"/>
    <col min="2815" max="2815" width="15.625" style="13" bestFit="1" customWidth="1"/>
    <col min="2816" max="2816" width="14.875" style="13" customWidth="1"/>
    <col min="2817" max="2817" width="15.625" style="13" bestFit="1" customWidth="1"/>
    <col min="2818" max="2818" width="15" style="13" customWidth="1"/>
    <col min="2819" max="2819" width="15.625" style="13" bestFit="1" customWidth="1"/>
    <col min="2820" max="2820" width="15.875" style="13" customWidth="1"/>
    <col min="2821" max="2821" width="16.25" style="13" customWidth="1"/>
    <col min="2822" max="2822" width="16.75" style="13" customWidth="1"/>
    <col min="2823" max="2823" width="14.875" style="13" customWidth="1"/>
    <col min="2824" max="2824" width="19.625" style="13" bestFit="1" customWidth="1"/>
    <col min="2825" max="2825" width="21.875" style="13" customWidth="1"/>
    <col min="2826" max="3062" width="11" style="13"/>
    <col min="3063" max="3063" width="51" style="13" customWidth="1"/>
    <col min="3064" max="3064" width="19" style="13" customWidth="1"/>
    <col min="3065" max="3065" width="15.375" style="13" customWidth="1"/>
    <col min="3066" max="3066" width="14.5" style="13" customWidth="1"/>
    <col min="3067" max="3067" width="19.75" style="13" customWidth="1"/>
    <col min="3068" max="3068" width="20.5" style="13" customWidth="1"/>
    <col min="3069" max="3069" width="15.25" style="13" customWidth="1"/>
    <col min="3070" max="3070" width="15.625" style="13" customWidth="1"/>
    <col min="3071" max="3071" width="15.625" style="13" bestFit="1" customWidth="1"/>
    <col min="3072" max="3072" width="14.875" style="13" customWidth="1"/>
    <col min="3073" max="3073" width="15.625" style="13" bestFit="1" customWidth="1"/>
    <col min="3074" max="3074" width="15" style="13" customWidth="1"/>
    <col min="3075" max="3075" width="15.625" style="13" bestFit="1" customWidth="1"/>
    <col min="3076" max="3076" width="15.875" style="13" customWidth="1"/>
    <col min="3077" max="3077" width="16.25" style="13" customWidth="1"/>
    <col min="3078" max="3078" width="16.75" style="13" customWidth="1"/>
    <col min="3079" max="3079" width="14.875" style="13" customWidth="1"/>
    <col min="3080" max="3080" width="19.625" style="13" bestFit="1" customWidth="1"/>
    <col min="3081" max="3081" width="21.875" style="13" customWidth="1"/>
    <col min="3082" max="3318" width="11" style="13"/>
    <col min="3319" max="3319" width="51" style="13" customWidth="1"/>
    <col min="3320" max="3320" width="19" style="13" customWidth="1"/>
    <col min="3321" max="3321" width="15.375" style="13" customWidth="1"/>
    <col min="3322" max="3322" width="14.5" style="13" customWidth="1"/>
    <col min="3323" max="3323" width="19.75" style="13" customWidth="1"/>
    <col min="3324" max="3324" width="20.5" style="13" customWidth="1"/>
    <col min="3325" max="3325" width="15.25" style="13" customWidth="1"/>
    <col min="3326" max="3326" width="15.625" style="13" customWidth="1"/>
    <col min="3327" max="3327" width="15.625" style="13" bestFit="1" customWidth="1"/>
    <col min="3328" max="3328" width="14.875" style="13" customWidth="1"/>
    <col min="3329" max="3329" width="15.625" style="13" bestFit="1" customWidth="1"/>
    <col min="3330" max="3330" width="15" style="13" customWidth="1"/>
    <col min="3331" max="3331" width="15.625" style="13" bestFit="1" customWidth="1"/>
    <col min="3332" max="3332" width="15.875" style="13" customWidth="1"/>
    <col min="3333" max="3333" width="16.25" style="13" customWidth="1"/>
    <col min="3334" max="3334" width="16.75" style="13" customWidth="1"/>
    <col min="3335" max="3335" width="14.875" style="13" customWidth="1"/>
    <col min="3336" max="3336" width="19.625" style="13" bestFit="1" customWidth="1"/>
    <col min="3337" max="3337" width="21.875" style="13" customWidth="1"/>
    <col min="3338" max="3574" width="11" style="13"/>
    <col min="3575" max="3575" width="51" style="13" customWidth="1"/>
    <col min="3576" max="3576" width="19" style="13" customWidth="1"/>
    <col min="3577" max="3577" width="15.375" style="13" customWidth="1"/>
    <col min="3578" max="3578" width="14.5" style="13" customWidth="1"/>
    <col min="3579" max="3579" width="19.75" style="13" customWidth="1"/>
    <col min="3580" max="3580" width="20.5" style="13" customWidth="1"/>
    <col min="3581" max="3581" width="15.25" style="13" customWidth="1"/>
    <col min="3582" max="3582" width="15.625" style="13" customWidth="1"/>
    <col min="3583" max="3583" width="15.625" style="13" bestFit="1" customWidth="1"/>
    <col min="3584" max="3584" width="14.875" style="13" customWidth="1"/>
    <col min="3585" max="3585" width="15.625" style="13" bestFit="1" customWidth="1"/>
    <col min="3586" max="3586" width="15" style="13" customWidth="1"/>
    <col min="3587" max="3587" width="15.625" style="13" bestFit="1" customWidth="1"/>
    <col min="3588" max="3588" width="15.875" style="13" customWidth="1"/>
    <col min="3589" max="3589" width="16.25" style="13" customWidth="1"/>
    <col min="3590" max="3590" width="16.75" style="13" customWidth="1"/>
    <col min="3591" max="3591" width="14.875" style="13" customWidth="1"/>
    <col min="3592" max="3592" width="19.625" style="13" bestFit="1" customWidth="1"/>
    <col min="3593" max="3593" width="21.875" style="13" customWidth="1"/>
    <col min="3594" max="3830" width="11" style="13"/>
    <col min="3831" max="3831" width="51" style="13" customWidth="1"/>
    <col min="3832" max="3832" width="19" style="13" customWidth="1"/>
    <col min="3833" max="3833" width="15.375" style="13" customWidth="1"/>
    <col min="3834" max="3834" width="14.5" style="13" customWidth="1"/>
    <col min="3835" max="3835" width="19.75" style="13" customWidth="1"/>
    <col min="3836" max="3836" width="20.5" style="13" customWidth="1"/>
    <col min="3837" max="3837" width="15.25" style="13" customWidth="1"/>
    <col min="3838" max="3838" width="15.625" style="13" customWidth="1"/>
    <col min="3839" max="3839" width="15.625" style="13" bestFit="1" customWidth="1"/>
    <col min="3840" max="3840" width="14.875" style="13" customWidth="1"/>
    <col min="3841" max="3841" width="15.625" style="13" bestFit="1" customWidth="1"/>
    <col min="3842" max="3842" width="15" style="13" customWidth="1"/>
    <col min="3843" max="3843" width="15.625" style="13" bestFit="1" customWidth="1"/>
    <col min="3844" max="3844" width="15.875" style="13" customWidth="1"/>
    <col min="3845" max="3845" width="16.25" style="13" customWidth="1"/>
    <col min="3846" max="3846" width="16.75" style="13" customWidth="1"/>
    <col min="3847" max="3847" width="14.875" style="13" customWidth="1"/>
    <col min="3848" max="3848" width="19.625" style="13" bestFit="1" customWidth="1"/>
    <col min="3849" max="3849" width="21.875" style="13" customWidth="1"/>
    <col min="3850" max="4086" width="11" style="13"/>
    <col min="4087" max="4087" width="51" style="13" customWidth="1"/>
    <col min="4088" max="4088" width="19" style="13" customWidth="1"/>
    <col min="4089" max="4089" width="15.375" style="13" customWidth="1"/>
    <col min="4090" max="4090" width="14.5" style="13" customWidth="1"/>
    <col min="4091" max="4091" width="19.75" style="13" customWidth="1"/>
    <col min="4092" max="4092" width="20.5" style="13" customWidth="1"/>
    <col min="4093" max="4093" width="15.25" style="13" customWidth="1"/>
    <col min="4094" max="4094" width="15.625" style="13" customWidth="1"/>
    <col min="4095" max="4095" width="15.625" style="13" bestFit="1" customWidth="1"/>
    <col min="4096" max="4096" width="14.875" style="13" customWidth="1"/>
    <col min="4097" max="4097" width="15.625" style="13" bestFit="1" customWidth="1"/>
    <col min="4098" max="4098" width="15" style="13" customWidth="1"/>
    <col min="4099" max="4099" width="15.625" style="13" bestFit="1" customWidth="1"/>
    <col min="4100" max="4100" width="15.875" style="13" customWidth="1"/>
    <col min="4101" max="4101" width="16.25" style="13" customWidth="1"/>
    <col min="4102" max="4102" width="16.75" style="13" customWidth="1"/>
    <col min="4103" max="4103" width="14.875" style="13" customWidth="1"/>
    <col min="4104" max="4104" width="19.625" style="13" bestFit="1" customWidth="1"/>
    <col min="4105" max="4105" width="21.875" style="13" customWidth="1"/>
    <col min="4106" max="4342" width="11" style="13"/>
    <col min="4343" max="4343" width="51" style="13" customWidth="1"/>
    <col min="4344" max="4344" width="19" style="13" customWidth="1"/>
    <col min="4345" max="4345" width="15.375" style="13" customWidth="1"/>
    <col min="4346" max="4346" width="14.5" style="13" customWidth="1"/>
    <col min="4347" max="4347" width="19.75" style="13" customWidth="1"/>
    <col min="4348" max="4348" width="20.5" style="13" customWidth="1"/>
    <col min="4349" max="4349" width="15.25" style="13" customWidth="1"/>
    <col min="4350" max="4350" width="15.625" style="13" customWidth="1"/>
    <col min="4351" max="4351" width="15.625" style="13" bestFit="1" customWidth="1"/>
    <col min="4352" max="4352" width="14.875" style="13" customWidth="1"/>
    <col min="4353" max="4353" width="15.625" style="13" bestFit="1" customWidth="1"/>
    <col min="4354" max="4354" width="15" style="13" customWidth="1"/>
    <col min="4355" max="4355" width="15.625" style="13" bestFit="1" customWidth="1"/>
    <col min="4356" max="4356" width="15.875" style="13" customWidth="1"/>
    <col min="4357" max="4357" width="16.25" style="13" customWidth="1"/>
    <col min="4358" max="4358" width="16.75" style="13" customWidth="1"/>
    <col min="4359" max="4359" width="14.875" style="13" customWidth="1"/>
    <col min="4360" max="4360" width="19.625" style="13" bestFit="1" customWidth="1"/>
    <col min="4361" max="4361" width="21.875" style="13" customWidth="1"/>
    <col min="4362" max="4598" width="11" style="13"/>
    <col min="4599" max="4599" width="51" style="13" customWidth="1"/>
    <col min="4600" max="4600" width="19" style="13" customWidth="1"/>
    <col min="4601" max="4601" width="15.375" style="13" customWidth="1"/>
    <col min="4602" max="4602" width="14.5" style="13" customWidth="1"/>
    <col min="4603" max="4603" width="19.75" style="13" customWidth="1"/>
    <col min="4604" max="4604" width="20.5" style="13" customWidth="1"/>
    <col min="4605" max="4605" width="15.25" style="13" customWidth="1"/>
    <col min="4606" max="4606" width="15.625" style="13" customWidth="1"/>
    <col min="4607" max="4607" width="15.625" style="13" bestFit="1" customWidth="1"/>
    <col min="4608" max="4608" width="14.875" style="13" customWidth="1"/>
    <col min="4609" max="4609" width="15.625" style="13" bestFit="1" customWidth="1"/>
    <col min="4610" max="4610" width="15" style="13" customWidth="1"/>
    <col min="4611" max="4611" width="15.625" style="13" bestFit="1" customWidth="1"/>
    <col min="4612" max="4612" width="15.875" style="13" customWidth="1"/>
    <col min="4613" max="4613" width="16.25" style="13" customWidth="1"/>
    <col min="4614" max="4614" width="16.75" style="13" customWidth="1"/>
    <col min="4615" max="4615" width="14.875" style="13" customWidth="1"/>
    <col min="4616" max="4616" width="19.625" style="13" bestFit="1" customWidth="1"/>
    <col min="4617" max="4617" width="21.875" style="13" customWidth="1"/>
    <col min="4618" max="4854" width="11" style="13"/>
    <col min="4855" max="4855" width="51" style="13" customWidth="1"/>
    <col min="4856" max="4856" width="19" style="13" customWidth="1"/>
    <col min="4857" max="4857" width="15.375" style="13" customWidth="1"/>
    <col min="4858" max="4858" width="14.5" style="13" customWidth="1"/>
    <col min="4859" max="4859" width="19.75" style="13" customWidth="1"/>
    <col min="4860" max="4860" width="20.5" style="13" customWidth="1"/>
    <col min="4861" max="4861" width="15.25" style="13" customWidth="1"/>
    <col min="4862" max="4862" width="15.625" style="13" customWidth="1"/>
    <col min="4863" max="4863" width="15.625" style="13" bestFit="1" customWidth="1"/>
    <col min="4864" max="4864" width="14.875" style="13" customWidth="1"/>
    <col min="4865" max="4865" width="15.625" style="13" bestFit="1" customWidth="1"/>
    <col min="4866" max="4866" width="15" style="13" customWidth="1"/>
    <col min="4867" max="4867" width="15.625" style="13" bestFit="1" customWidth="1"/>
    <col min="4868" max="4868" width="15.875" style="13" customWidth="1"/>
    <col min="4869" max="4869" width="16.25" style="13" customWidth="1"/>
    <col min="4870" max="4870" width="16.75" style="13" customWidth="1"/>
    <col min="4871" max="4871" width="14.875" style="13" customWidth="1"/>
    <col min="4872" max="4872" width="19.625" style="13" bestFit="1" customWidth="1"/>
    <col min="4873" max="4873" width="21.875" style="13" customWidth="1"/>
    <col min="4874" max="5110" width="11" style="13"/>
    <col min="5111" max="5111" width="51" style="13" customWidth="1"/>
    <col min="5112" max="5112" width="19" style="13" customWidth="1"/>
    <col min="5113" max="5113" width="15.375" style="13" customWidth="1"/>
    <col min="5114" max="5114" width="14.5" style="13" customWidth="1"/>
    <col min="5115" max="5115" width="19.75" style="13" customWidth="1"/>
    <col min="5116" max="5116" width="20.5" style="13" customWidth="1"/>
    <col min="5117" max="5117" width="15.25" style="13" customWidth="1"/>
    <col min="5118" max="5118" width="15.625" style="13" customWidth="1"/>
    <col min="5119" max="5119" width="15.625" style="13" bestFit="1" customWidth="1"/>
    <col min="5120" max="5120" width="14.875" style="13" customWidth="1"/>
    <col min="5121" max="5121" width="15.625" style="13" bestFit="1" customWidth="1"/>
    <col min="5122" max="5122" width="15" style="13" customWidth="1"/>
    <col min="5123" max="5123" width="15.625" style="13" bestFit="1" customWidth="1"/>
    <col min="5124" max="5124" width="15.875" style="13" customWidth="1"/>
    <col min="5125" max="5125" width="16.25" style="13" customWidth="1"/>
    <col min="5126" max="5126" width="16.75" style="13" customWidth="1"/>
    <col min="5127" max="5127" width="14.875" style="13" customWidth="1"/>
    <col min="5128" max="5128" width="19.625" style="13" bestFit="1" customWidth="1"/>
    <col min="5129" max="5129" width="21.875" style="13" customWidth="1"/>
    <col min="5130" max="5366" width="11" style="13"/>
    <col min="5367" max="5367" width="51" style="13" customWidth="1"/>
    <col min="5368" max="5368" width="19" style="13" customWidth="1"/>
    <col min="5369" max="5369" width="15.375" style="13" customWidth="1"/>
    <col min="5370" max="5370" width="14.5" style="13" customWidth="1"/>
    <col min="5371" max="5371" width="19.75" style="13" customWidth="1"/>
    <col min="5372" max="5372" width="20.5" style="13" customWidth="1"/>
    <col min="5373" max="5373" width="15.25" style="13" customWidth="1"/>
    <col min="5374" max="5374" width="15.625" style="13" customWidth="1"/>
    <col min="5375" max="5375" width="15.625" style="13" bestFit="1" customWidth="1"/>
    <col min="5376" max="5376" width="14.875" style="13" customWidth="1"/>
    <col min="5377" max="5377" width="15.625" style="13" bestFit="1" customWidth="1"/>
    <col min="5378" max="5378" width="15" style="13" customWidth="1"/>
    <col min="5379" max="5379" width="15.625" style="13" bestFit="1" customWidth="1"/>
    <col min="5380" max="5380" width="15.875" style="13" customWidth="1"/>
    <col min="5381" max="5381" width="16.25" style="13" customWidth="1"/>
    <col min="5382" max="5382" width="16.75" style="13" customWidth="1"/>
    <col min="5383" max="5383" width="14.875" style="13" customWidth="1"/>
    <col min="5384" max="5384" width="19.625" style="13" bestFit="1" customWidth="1"/>
    <col min="5385" max="5385" width="21.875" style="13" customWidth="1"/>
    <col min="5386" max="5622" width="11" style="13"/>
    <col min="5623" max="5623" width="51" style="13" customWidth="1"/>
    <col min="5624" max="5624" width="19" style="13" customWidth="1"/>
    <col min="5625" max="5625" width="15.375" style="13" customWidth="1"/>
    <col min="5626" max="5626" width="14.5" style="13" customWidth="1"/>
    <col min="5627" max="5627" width="19.75" style="13" customWidth="1"/>
    <col min="5628" max="5628" width="20.5" style="13" customWidth="1"/>
    <col min="5629" max="5629" width="15.25" style="13" customWidth="1"/>
    <col min="5630" max="5630" width="15.625" style="13" customWidth="1"/>
    <col min="5631" max="5631" width="15.625" style="13" bestFit="1" customWidth="1"/>
    <col min="5632" max="5632" width="14.875" style="13" customWidth="1"/>
    <col min="5633" max="5633" width="15.625" style="13" bestFit="1" customWidth="1"/>
    <col min="5634" max="5634" width="15" style="13" customWidth="1"/>
    <col min="5635" max="5635" width="15.625" style="13" bestFit="1" customWidth="1"/>
    <col min="5636" max="5636" width="15.875" style="13" customWidth="1"/>
    <col min="5637" max="5637" width="16.25" style="13" customWidth="1"/>
    <col min="5638" max="5638" width="16.75" style="13" customWidth="1"/>
    <col min="5639" max="5639" width="14.875" style="13" customWidth="1"/>
    <col min="5640" max="5640" width="19.625" style="13" bestFit="1" customWidth="1"/>
    <col min="5641" max="5641" width="21.875" style="13" customWidth="1"/>
    <col min="5642" max="5878" width="11" style="13"/>
    <col min="5879" max="5879" width="51" style="13" customWidth="1"/>
    <col min="5880" max="5880" width="19" style="13" customWidth="1"/>
    <col min="5881" max="5881" width="15.375" style="13" customWidth="1"/>
    <col min="5882" max="5882" width="14.5" style="13" customWidth="1"/>
    <col min="5883" max="5883" width="19.75" style="13" customWidth="1"/>
    <col min="5884" max="5884" width="20.5" style="13" customWidth="1"/>
    <col min="5885" max="5885" width="15.25" style="13" customWidth="1"/>
    <col min="5886" max="5886" width="15.625" style="13" customWidth="1"/>
    <col min="5887" max="5887" width="15.625" style="13" bestFit="1" customWidth="1"/>
    <col min="5888" max="5888" width="14.875" style="13" customWidth="1"/>
    <col min="5889" max="5889" width="15.625" style="13" bestFit="1" customWidth="1"/>
    <col min="5890" max="5890" width="15" style="13" customWidth="1"/>
    <col min="5891" max="5891" width="15.625" style="13" bestFit="1" customWidth="1"/>
    <col min="5892" max="5892" width="15.875" style="13" customWidth="1"/>
    <col min="5893" max="5893" width="16.25" style="13" customWidth="1"/>
    <col min="5894" max="5894" width="16.75" style="13" customWidth="1"/>
    <col min="5895" max="5895" width="14.875" style="13" customWidth="1"/>
    <col min="5896" max="5896" width="19.625" style="13" bestFit="1" customWidth="1"/>
    <col min="5897" max="5897" width="21.875" style="13" customWidth="1"/>
    <col min="5898" max="6134" width="11" style="13"/>
    <col min="6135" max="6135" width="51" style="13" customWidth="1"/>
    <col min="6136" max="6136" width="19" style="13" customWidth="1"/>
    <col min="6137" max="6137" width="15.375" style="13" customWidth="1"/>
    <col min="6138" max="6138" width="14.5" style="13" customWidth="1"/>
    <col min="6139" max="6139" width="19.75" style="13" customWidth="1"/>
    <col min="6140" max="6140" width="20.5" style="13" customWidth="1"/>
    <col min="6141" max="6141" width="15.25" style="13" customWidth="1"/>
    <col min="6142" max="6142" width="15.625" style="13" customWidth="1"/>
    <col min="6143" max="6143" width="15.625" style="13" bestFit="1" customWidth="1"/>
    <col min="6144" max="6144" width="14.875" style="13" customWidth="1"/>
    <col min="6145" max="6145" width="15.625" style="13" bestFit="1" customWidth="1"/>
    <col min="6146" max="6146" width="15" style="13" customWidth="1"/>
    <col min="6147" max="6147" width="15.625" style="13" bestFit="1" customWidth="1"/>
    <col min="6148" max="6148" width="15.875" style="13" customWidth="1"/>
    <col min="6149" max="6149" width="16.25" style="13" customWidth="1"/>
    <col min="6150" max="6150" width="16.75" style="13" customWidth="1"/>
    <col min="6151" max="6151" width="14.875" style="13" customWidth="1"/>
    <col min="6152" max="6152" width="19.625" style="13" bestFit="1" customWidth="1"/>
    <col min="6153" max="6153" width="21.875" style="13" customWidth="1"/>
    <col min="6154" max="6390" width="11" style="13"/>
    <col min="6391" max="6391" width="51" style="13" customWidth="1"/>
    <col min="6392" max="6392" width="19" style="13" customWidth="1"/>
    <col min="6393" max="6393" width="15.375" style="13" customWidth="1"/>
    <col min="6394" max="6394" width="14.5" style="13" customWidth="1"/>
    <col min="6395" max="6395" width="19.75" style="13" customWidth="1"/>
    <col min="6396" max="6396" width="20.5" style="13" customWidth="1"/>
    <col min="6397" max="6397" width="15.25" style="13" customWidth="1"/>
    <col min="6398" max="6398" width="15.625" style="13" customWidth="1"/>
    <col min="6399" max="6399" width="15.625" style="13" bestFit="1" customWidth="1"/>
    <col min="6400" max="6400" width="14.875" style="13" customWidth="1"/>
    <col min="6401" max="6401" width="15.625" style="13" bestFit="1" customWidth="1"/>
    <col min="6402" max="6402" width="15" style="13" customWidth="1"/>
    <col min="6403" max="6403" width="15.625" style="13" bestFit="1" customWidth="1"/>
    <col min="6404" max="6404" width="15.875" style="13" customWidth="1"/>
    <col min="6405" max="6405" width="16.25" style="13" customWidth="1"/>
    <col min="6406" max="6406" width="16.75" style="13" customWidth="1"/>
    <col min="6407" max="6407" width="14.875" style="13" customWidth="1"/>
    <col min="6408" max="6408" width="19.625" style="13" bestFit="1" customWidth="1"/>
    <col min="6409" max="6409" width="21.875" style="13" customWidth="1"/>
    <col min="6410" max="6646" width="11" style="13"/>
    <col min="6647" max="6647" width="51" style="13" customWidth="1"/>
    <col min="6648" max="6648" width="19" style="13" customWidth="1"/>
    <col min="6649" max="6649" width="15.375" style="13" customWidth="1"/>
    <col min="6650" max="6650" width="14.5" style="13" customWidth="1"/>
    <col min="6651" max="6651" width="19.75" style="13" customWidth="1"/>
    <col min="6652" max="6652" width="20.5" style="13" customWidth="1"/>
    <col min="6653" max="6653" width="15.25" style="13" customWidth="1"/>
    <col min="6654" max="6654" width="15.625" style="13" customWidth="1"/>
    <col min="6655" max="6655" width="15.625" style="13" bestFit="1" customWidth="1"/>
    <col min="6656" max="6656" width="14.875" style="13" customWidth="1"/>
    <col min="6657" max="6657" width="15.625" style="13" bestFit="1" customWidth="1"/>
    <col min="6658" max="6658" width="15" style="13" customWidth="1"/>
    <col min="6659" max="6659" width="15.625" style="13" bestFit="1" customWidth="1"/>
    <col min="6660" max="6660" width="15.875" style="13" customWidth="1"/>
    <col min="6661" max="6661" width="16.25" style="13" customWidth="1"/>
    <col min="6662" max="6662" width="16.75" style="13" customWidth="1"/>
    <col min="6663" max="6663" width="14.875" style="13" customWidth="1"/>
    <col min="6664" max="6664" width="19.625" style="13" bestFit="1" customWidth="1"/>
    <col min="6665" max="6665" width="21.875" style="13" customWidth="1"/>
    <col min="6666" max="6902" width="11" style="13"/>
    <col min="6903" max="6903" width="51" style="13" customWidth="1"/>
    <col min="6904" max="6904" width="19" style="13" customWidth="1"/>
    <col min="6905" max="6905" width="15.375" style="13" customWidth="1"/>
    <col min="6906" max="6906" width="14.5" style="13" customWidth="1"/>
    <col min="6907" max="6907" width="19.75" style="13" customWidth="1"/>
    <col min="6908" max="6908" width="20.5" style="13" customWidth="1"/>
    <col min="6909" max="6909" width="15.25" style="13" customWidth="1"/>
    <col min="6910" max="6910" width="15.625" style="13" customWidth="1"/>
    <col min="6911" max="6911" width="15.625" style="13" bestFit="1" customWidth="1"/>
    <col min="6912" max="6912" width="14.875" style="13" customWidth="1"/>
    <col min="6913" max="6913" width="15.625" style="13" bestFit="1" customWidth="1"/>
    <col min="6914" max="6914" width="15" style="13" customWidth="1"/>
    <col min="6915" max="6915" width="15.625" style="13" bestFit="1" customWidth="1"/>
    <col min="6916" max="6916" width="15.875" style="13" customWidth="1"/>
    <col min="6917" max="6917" width="16.25" style="13" customWidth="1"/>
    <col min="6918" max="6918" width="16.75" style="13" customWidth="1"/>
    <col min="6919" max="6919" width="14.875" style="13" customWidth="1"/>
    <col min="6920" max="6920" width="19.625" style="13" bestFit="1" customWidth="1"/>
    <col min="6921" max="6921" width="21.875" style="13" customWidth="1"/>
    <col min="6922" max="7158" width="11" style="13"/>
    <col min="7159" max="7159" width="51" style="13" customWidth="1"/>
    <col min="7160" max="7160" width="19" style="13" customWidth="1"/>
    <col min="7161" max="7161" width="15.375" style="13" customWidth="1"/>
    <col min="7162" max="7162" width="14.5" style="13" customWidth="1"/>
    <col min="7163" max="7163" width="19.75" style="13" customWidth="1"/>
    <col min="7164" max="7164" width="20.5" style="13" customWidth="1"/>
    <col min="7165" max="7165" width="15.25" style="13" customWidth="1"/>
    <col min="7166" max="7166" width="15.625" style="13" customWidth="1"/>
    <col min="7167" max="7167" width="15.625" style="13" bestFit="1" customWidth="1"/>
    <col min="7168" max="7168" width="14.875" style="13" customWidth="1"/>
    <col min="7169" max="7169" width="15.625" style="13" bestFit="1" customWidth="1"/>
    <col min="7170" max="7170" width="15" style="13" customWidth="1"/>
    <col min="7171" max="7171" width="15.625" style="13" bestFit="1" customWidth="1"/>
    <col min="7172" max="7172" width="15.875" style="13" customWidth="1"/>
    <col min="7173" max="7173" width="16.25" style="13" customWidth="1"/>
    <col min="7174" max="7174" width="16.75" style="13" customWidth="1"/>
    <col min="7175" max="7175" width="14.875" style="13" customWidth="1"/>
    <col min="7176" max="7176" width="19.625" style="13" bestFit="1" customWidth="1"/>
    <col min="7177" max="7177" width="21.875" style="13" customWidth="1"/>
    <col min="7178" max="7414" width="11" style="13"/>
    <col min="7415" max="7415" width="51" style="13" customWidth="1"/>
    <col min="7416" max="7416" width="19" style="13" customWidth="1"/>
    <col min="7417" max="7417" width="15.375" style="13" customWidth="1"/>
    <col min="7418" max="7418" width="14.5" style="13" customWidth="1"/>
    <col min="7419" max="7419" width="19.75" style="13" customWidth="1"/>
    <col min="7420" max="7420" width="20.5" style="13" customWidth="1"/>
    <col min="7421" max="7421" width="15.25" style="13" customWidth="1"/>
    <col min="7422" max="7422" width="15.625" style="13" customWidth="1"/>
    <col min="7423" max="7423" width="15.625" style="13" bestFit="1" customWidth="1"/>
    <col min="7424" max="7424" width="14.875" style="13" customWidth="1"/>
    <col min="7425" max="7425" width="15.625" style="13" bestFit="1" customWidth="1"/>
    <col min="7426" max="7426" width="15" style="13" customWidth="1"/>
    <col min="7427" max="7427" width="15.625" style="13" bestFit="1" customWidth="1"/>
    <col min="7428" max="7428" width="15.875" style="13" customWidth="1"/>
    <col min="7429" max="7429" width="16.25" style="13" customWidth="1"/>
    <col min="7430" max="7430" width="16.75" style="13" customWidth="1"/>
    <col min="7431" max="7431" width="14.875" style="13" customWidth="1"/>
    <col min="7432" max="7432" width="19.625" style="13" bestFit="1" customWidth="1"/>
    <col min="7433" max="7433" width="21.875" style="13" customWidth="1"/>
    <col min="7434" max="7670" width="11" style="13"/>
    <col min="7671" max="7671" width="51" style="13" customWidth="1"/>
    <col min="7672" max="7672" width="19" style="13" customWidth="1"/>
    <col min="7673" max="7673" width="15.375" style="13" customWidth="1"/>
    <col min="7674" max="7674" width="14.5" style="13" customWidth="1"/>
    <col min="7675" max="7675" width="19.75" style="13" customWidth="1"/>
    <col min="7676" max="7676" width="20.5" style="13" customWidth="1"/>
    <col min="7677" max="7677" width="15.25" style="13" customWidth="1"/>
    <col min="7678" max="7678" width="15.625" style="13" customWidth="1"/>
    <col min="7679" max="7679" width="15.625" style="13" bestFit="1" customWidth="1"/>
    <col min="7680" max="7680" width="14.875" style="13" customWidth="1"/>
    <col min="7681" max="7681" width="15.625" style="13" bestFit="1" customWidth="1"/>
    <col min="7682" max="7682" width="15" style="13" customWidth="1"/>
    <col min="7683" max="7683" width="15.625" style="13" bestFit="1" customWidth="1"/>
    <col min="7684" max="7684" width="15.875" style="13" customWidth="1"/>
    <col min="7685" max="7685" width="16.25" style="13" customWidth="1"/>
    <col min="7686" max="7686" width="16.75" style="13" customWidth="1"/>
    <col min="7687" max="7687" width="14.875" style="13" customWidth="1"/>
    <col min="7688" max="7688" width="19.625" style="13" bestFit="1" customWidth="1"/>
    <col min="7689" max="7689" width="21.875" style="13" customWidth="1"/>
    <col min="7690" max="7926" width="11" style="13"/>
    <col min="7927" max="7927" width="51" style="13" customWidth="1"/>
    <col min="7928" max="7928" width="19" style="13" customWidth="1"/>
    <col min="7929" max="7929" width="15.375" style="13" customWidth="1"/>
    <col min="7930" max="7930" width="14.5" style="13" customWidth="1"/>
    <col min="7931" max="7931" width="19.75" style="13" customWidth="1"/>
    <col min="7932" max="7932" width="20.5" style="13" customWidth="1"/>
    <col min="7933" max="7933" width="15.25" style="13" customWidth="1"/>
    <col min="7934" max="7934" width="15.625" style="13" customWidth="1"/>
    <col min="7935" max="7935" width="15.625" style="13" bestFit="1" customWidth="1"/>
    <col min="7936" max="7936" width="14.875" style="13" customWidth="1"/>
    <col min="7937" max="7937" width="15.625" style="13" bestFit="1" customWidth="1"/>
    <col min="7938" max="7938" width="15" style="13" customWidth="1"/>
    <col min="7939" max="7939" width="15.625" style="13" bestFit="1" customWidth="1"/>
    <col min="7940" max="7940" width="15.875" style="13" customWidth="1"/>
    <col min="7941" max="7941" width="16.25" style="13" customWidth="1"/>
    <col min="7942" max="7942" width="16.75" style="13" customWidth="1"/>
    <col min="7943" max="7943" width="14.875" style="13" customWidth="1"/>
    <col min="7944" max="7944" width="19.625" style="13" bestFit="1" customWidth="1"/>
    <col min="7945" max="7945" width="21.875" style="13" customWidth="1"/>
    <col min="7946" max="8182" width="11" style="13"/>
    <col min="8183" max="8183" width="51" style="13" customWidth="1"/>
    <col min="8184" max="8184" width="19" style="13" customWidth="1"/>
    <col min="8185" max="8185" width="15.375" style="13" customWidth="1"/>
    <col min="8186" max="8186" width="14.5" style="13" customWidth="1"/>
    <col min="8187" max="8187" width="19.75" style="13" customWidth="1"/>
    <col min="8188" max="8188" width="20.5" style="13" customWidth="1"/>
    <col min="8189" max="8189" width="15.25" style="13" customWidth="1"/>
    <col min="8190" max="8190" width="15.625" style="13" customWidth="1"/>
    <col min="8191" max="8191" width="15.625" style="13" bestFit="1" customWidth="1"/>
    <col min="8192" max="8192" width="14.875" style="13" customWidth="1"/>
    <col min="8193" max="8193" width="15.625" style="13" bestFit="1" customWidth="1"/>
    <col min="8194" max="8194" width="15" style="13" customWidth="1"/>
    <col min="8195" max="8195" width="15.625" style="13" bestFit="1" customWidth="1"/>
    <col min="8196" max="8196" width="15.875" style="13" customWidth="1"/>
    <col min="8197" max="8197" width="16.25" style="13" customWidth="1"/>
    <col min="8198" max="8198" width="16.75" style="13" customWidth="1"/>
    <col min="8199" max="8199" width="14.875" style="13" customWidth="1"/>
    <col min="8200" max="8200" width="19.625" style="13" bestFit="1" customWidth="1"/>
    <col min="8201" max="8201" width="21.875" style="13" customWidth="1"/>
    <col min="8202" max="8438" width="11" style="13"/>
    <col min="8439" max="8439" width="51" style="13" customWidth="1"/>
    <col min="8440" max="8440" width="19" style="13" customWidth="1"/>
    <col min="8441" max="8441" width="15.375" style="13" customWidth="1"/>
    <col min="8442" max="8442" width="14.5" style="13" customWidth="1"/>
    <col min="8443" max="8443" width="19.75" style="13" customWidth="1"/>
    <col min="8444" max="8444" width="20.5" style="13" customWidth="1"/>
    <col min="8445" max="8445" width="15.25" style="13" customWidth="1"/>
    <col min="8446" max="8446" width="15.625" style="13" customWidth="1"/>
    <col min="8447" max="8447" width="15.625" style="13" bestFit="1" customWidth="1"/>
    <col min="8448" max="8448" width="14.875" style="13" customWidth="1"/>
    <col min="8449" max="8449" width="15.625" style="13" bestFit="1" customWidth="1"/>
    <col min="8450" max="8450" width="15" style="13" customWidth="1"/>
    <col min="8451" max="8451" width="15.625" style="13" bestFit="1" customWidth="1"/>
    <col min="8452" max="8452" width="15.875" style="13" customWidth="1"/>
    <col min="8453" max="8453" width="16.25" style="13" customWidth="1"/>
    <col min="8454" max="8454" width="16.75" style="13" customWidth="1"/>
    <col min="8455" max="8455" width="14.875" style="13" customWidth="1"/>
    <col min="8456" max="8456" width="19.625" style="13" bestFit="1" customWidth="1"/>
    <col min="8457" max="8457" width="21.875" style="13" customWidth="1"/>
    <col min="8458" max="8694" width="11" style="13"/>
    <col min="8695" max="8695" width="51" style="13" customWidth="1"/>
    <col min="8696" max="8696" width="19" style="13" customWidth="1"/>
    <col min="8697" max="8697" width="15.375" style="13" customWidth="1"/>
    <col min="8698" max="8698" width="14.5" style="13" customWidth="1"/>
    <col min="8699" max="8699" width="19.75" style="13" customWidth="1"/>
    <col min="8700" max="8700" width="20.5" style="13" customWidth="1"/>
    <col min="8701" max="8701" width="15.25" style="13" customWidth="1"/>
    <col min="8702" max="8702" width="15.625" style="13" customWidth="1"/>
    <col min="8703" max="8703" width="15.625" style="13" bestFit="1" customWidth="1"/>
    <col min="8704" max="8704" width="14.875" style="13" customWidth="1"/>
    <col min="8705" max="8705" width="15.625" style="13" bestFit="1" customWidth="1"/>
    <col min="8706" max="8706" width="15" style="13" customWidth="1"/>
    <col min="8707" max="8707" width="15.625" style="13" bestFit="1" customWidth="1"/>
    <col min="8708" max="8708" width="15.875" style="13" customWidth="1"/>
    <col min="8709" max="8709" width="16.25" style="13" customWidth="1"/>
    <col min="8710" max="8710" width="16.75" style="13" customWidth="1"/>
    <col min="8711" max="8711" width="14.875" style="13" customWidth="1"/>
    <col min="8712" max="8712" width="19.625" style="13" bestFit="1" customWidth="1"/>
    <col min="8713" max="8713" width="21.875" style="13" customWidth="1"/>
    <col min="8714" max="8950" width="11" style="13"/>
    <col min="8951" max="8951" width="51" style="13" customWidth="1"/>
    <col min="8952" max="8952" width="19" style="13" customWidth="1"/>
    <col min="8953" max="8953" width="15.375" style="13" customWidth="1"/>
    <col min="8954" max="8954" width="14.5" style="13" customWidth="1"/>
    <col min="8955" max="8955" width="19.75" style="13" customWidth="1"/>
    <col min="8956" max="8956" width="20.5" style="13" customWidth="1"/>
    <col min="8957" max="8957" width="15.25" style="13" customWidth="1"/>
    <col min="8958" max="8958" width="15.625" style="13" customWidth="1"/>
    <col min="8959" max="8959" width="15.625" style="13" bestFit="1" customWidth="1"/>
    <col min="8960" max="8960" width="14.875" style="13" customWidth="1"/>
    <col min="8961" max="8961" width="15.625" style="13" bestFit="1" customWidth="1"/>
    <col min="8962" max="8962" width="15" style="13" customWidth="1"/>
    <col min="8963" max="8963" width="15.625" style="13" bestFit="1" customWidth="1"/>
    <col min="8964" max="8964" width="15.875" style="13" customWidth="1"/>
    <col min="8965" max="8965" width="16.25" style="13" customWidth="1"/>
    <col min="8966" max="8966" width="16.75" style="13" customWidth="1"/>
    <col min="8967" max="8967" width="14.875" style="13" customWidth="1"/>
    <col min="8968" max="8968" width="19.625" style="13" bestFit="1" customWidth="1"/>
    <col min="8969" max="8969" width="21.875" style="13" customWidth="1"/>
    <col min="8970" max="9206" width="11" style="13"/>
    <col min="9207" max="9207" width="51" style="13" customWidth="1"/>
    <col min="9208" max="9208" width="19" style="13" customWidth="1"/>
    <col min="9209" max="9209" width="15.375" style="13" customWidth="1"/>
    <col min="9210" max="9210" width="14.5" style="13" customWidth="1"/>
    <col min="9211" max="9211" width="19.75" style="13" customWidth="1"/>
    <col min="9212" max="9212" width="20.5" style="13" customWidth="1"/>
    <col min="9213" max="9213" width="15.25" style="13" customWidth="1"/>
    <col min="9214" max="9214" width="15.625" style="13" customWidth="1"/>
    <col min="9215" max="9215" width="15.625" style="13" bestFit="1" customWidth="1"/>
    <col min="9216" max="9216" width="14.875" style="13" customWidth="1"/>
    <col min="9217" max="9217" width="15.625" style="13" bestFit="1" customWidth="1"/>
    <col min="9218" max="9218" width="15" style="13" customWidth="1"/>
    <col min="9219" max="9219" width="15.625" style="13" bestFit="1" customWidth="1"/>
    <col min="9220" max="9220" width="15.875" style="13" customWidth="1"/>
    <col min="9221" max="9221" width="16.25" style="13" customWidth="1"/>
    <col min="9222" max="9222" width="16.75" style="13" customWidth="1"/>
    <col min="9223" max="9223" width="14.875" style="13" customWidth="1"/>
    <col min="9224" max="9224" width="19.625" style="13" bestFit="1" customWidth="1"/>
    <col min="9225" max="9225" width="21.875" style="13" customWidth="1"/>
    <col min="9226" max="9462" width="11" style="13"/>
    <col min="9463" max="9463" width="51" style="13" customWidth="1"/>
    <col min="9464" max="9464" width="19" style="13" customWidth="1"/>
    <col min="9465" max="9465" width="15.375" style="13" customWidth="1"/>
    <col min="9466" max="9466" width="14.5" style="13" customWidth="1"/>
    <col min="9467" max="9467" width="19.75" style="13" customWidth="1"/>
    <col min="9468" max="9468" width="20.5" style="13" customWidth="1"/>
    <col min="9469" max="9469" width="15.25" style="13" customWidth="1"/>
    <col min="9470" max="9470" width="15.625" style="13" customWidth="1"/>
    <col min="9471" max="9471" width="15.625" style="13" bestFit="1" customWidth="1"/>
    <col min="9472" max="9472" width="14.875" style="13" customWidth="1"/>
    <col min="9473" max="9473" width="15.625" style="13" bestFit="1" customWidth="1"/>
    <col min="9474" max="9474" width="15" style="13" customWidth="1"/>
    <col min="9475" max="9475" width="15.625" style="13" bestFit="1" customWidth="1"/>
    <col min="9476" max="9476" width="15.875" style="13" customWidth="1"/>
    <col min="9477" max="9477" width="16.25" style="13" customWidth="1"/>
    <col min="9478" max="9478" width="16.75" style="13" customWidth="1"/>
    <col min="9479" max="9479" width="14.875" style="13" customWidth="1"/>
    <col min="9480" max="9480" width="19.625" style="13" bestFit="1" customWidth="1"/>
    <col min="9481" max="9481" width="21.875" style="13" customWidth="1"/>
    <col min="9482" max="9718" width="11" style="13"/>
    <col min="9719" max="9719" width="51" style="13" customWidth="1"/>
    <col min="9720" max="9720" width="19" style="13" customWidth="1"/>
    <col min="9721" max="9721" width="15.375" style="13" customWidth="1"/>
    <col min="9722" max="9722" width="14.5" style="13" customWidth="1"/>
    <col min="9723" max="9723" width="19.75" style="13" customWidth="1"/>
    <col min="9724" max="9724" width="20.5" style="13" customWidth="1"/>
    <col min="9725" max="9725" width="15.25" style="13" customWidth="1"/>
    <col min="9726" max="9726" width="15.625" style="13" customWidth="1"/>
    <col min="9727" max="9727" width="15.625" style="13" bestFit="1" customWidth="1"/>
    <col min="9728" max="9728" width="14.875" style="13" customWidth="1"/>
    <col min="9729" max="9729" width="15.625" style="13" bestFit="1" customWidth="1"/>
    <col min="9730" max="9730" width="15" style="13" customWidth="1"/>
    <col min="9731" max="9731" width="15.625" style="13" bestFit="1" customWidth="1"/>
    <col min="9732" max="9732" width="15.875" style="13" customWidth="1"/>
    <col min="9733" max="9733" width="16.25" style="13" customWidth="1"/>
    <col min="9734" max="9734" width="16.75" style="13" customWidth="1"/>
    <col min="9735" max="9735" width="14.875" style="13" customWidth="1"/>
    <col min="9736" max="9736" width="19.625" style="13" bestFit="1" customWidth="1"/>
    <col min="9737" max="9737" width="21.875" style="13" customWidth="1"/>
    <col min="9738" max="9974" width="11" style="13"/>
    <col min="9975" max="9975" width="51" style="13" customWidth="1"/>
    <col min="9976" max="9976" width="19" style="13" customWidth="1"/>
    <col min="9977" max="9977" width="15.375" style="13" customWidth="1"/>
    <col min="9978" max="9978" width="14.5" style="13" customWidth="1"/>
    <col min="9979" max="9979" width="19.75" style="13" customWidth="1"/>
    <col min="9980" max="9980" width="20.5" style="13" customWidth="1"/>
    <col min="9981" max="9981" width="15.25" style="13" customWidth="1"/>
    <col min="9982" max="9982" width="15.625" style="13" customWidth="1"/>
    <col min="9983" max="9983" width="15.625" style="13" bestFit="1" customWidth="1"/>
    <col min="9984" max="9984" width="14.875" style="13" customWidth="1"/>
    <col min="9985" max="9985" width="15.625" style="13" bestFit="1" customWidth="1"/>
    <col min="9986" max="9986" width="15" style="13" customWidth="1"/>
    <col min="9987" max="9987" width="15.625" style="13" bestFit="1" customWidth="1"/>
    <col min="9988" max="9988" width="15.875" style="13" customWidth="1"/>
    <col min="9989" max="9989" width="16.25" style="13" customWidth="1"/>
    <col min="9990" max="9990" width="16.75" style="13" customWidth="1"/>
    <col min="9991" max="9991" width="14.875" style="13" customWidth="1"/>
    <col min="9992" max="9992" width="19.625" style="13" bestFit="1" customWidth="1"/>
    <col min="9993" max="9993" width="21.875" style="13" customWidth="1"/>
    <col min="9994" max="10230" width="11" style="13"/>
    <col min="10231" max="10231" width="51" style="13" customWidth="1"/>
    <col min="10232" max="10232" width="19" style="13" customWidth="1"/>
    <col min="10233" max="10233" width="15.375" style="13" customWidth="1"/>
    <col min="10234" max="10234" width="14.5" style="13" customWidth="1"/>
    <col min="10235" max="10235" width="19.75" style="13" customWidth="1"/>
    <col min="10236" max="10236" width="20.5" style="13" customWidth="1"/>
    <col min="10237" max="10237" width="15.25" style="13" customWidth="1"/>
    <col min="10238" max="10238" width="15.625" style="13" customWidth="1"/>
    <col min="10239" max="10239" width="15.625" style="13" bestFit="1" customWidth="1"/>
    <col min="10240" max="10240" width="14.875" style="13" customWidth="1"/>
    <col min="10241" max="10241" width="15.625" style="13" bestFit="1" customWidth="1"/>
    <col min="10242" max="10242" width="15" style="13" customWidth="1"/>
    <col min="10243" max="10243" width="15.625" style="13" bestFit="1" customWidth="1"/>
    <col min="10244" max="10244" width="15.875" style="13" customWidth="1"/>
    <col min="10245" max="10245" width="16.25" style="13" customWidth="1"/>
    <col min="10246" max="10246" width="16.75" style="13" customWidth="1"/>
    <col min="10247" max="10247" width="14.875" style="13" customWidth="1"/>
    <col min="10248" max="10248" width="19.625" style="13" bestFit="1" customWidth="1"/>
    <col min="10249" max="10249" width="21.875" style="13" customWidth="1"/>
    <col min="10250" max="10486" width="11" style="13"/>
    <col min="10487" max="10487" width="51" style="13" customWidth="1"/>
    <col min="10488" max="10488" width="19" style="13" customWidth="1"/>
    <col min="10489" max="10489" width="15.375" style="13" customWidth="1"/>
    <col min="10490" max="10490" width="14.5" style="13" customWidth="1"/>
    <col min="10491" max="10491" width="19.75" style="13" customWidth="1"/>
    <col min="10492" max="10492" width="20.5" style="13" customWidth="1"/>
    <col min="10493" max="10493" width="15.25" style="13" customWidth="1"/>
    <col min="10494" max="10494" width="15.625" style="13" customWidth="1"/>
    <col min="10495" max="10495" width="15.625" style="13" bestFit="1" customWidth="1"/>
    <col min="10496" max="10496" width="14.875" style="13" customWidth="1"/>
    <col min="10497" max="10497" width="15.625" style="13" bestFit="1" customWidth="1"/>
    <col min="10498" max="10498" width="15" style="13" customWidth="1"/>
    <col min="10499" max="10499" width="15.625" style="13" bestFit="1" customWidth="1"/>
    <col min="10500" max="10500" width="15.875" style="13" customWidth="1"/>
    <col min="10501" max="10501" width="16.25" style="13" customWidth="1"/>
    <col min="10502" max="10502" width="16.75" style="13" customWidth="1"/>
    <col min="10503" max="10503" width="14.875" style="13" customWidth="1"/>
    <col min="10504" max="10504" width="19.625" style="13" bestFit="1" customWidth="1"/>
    <col min="10505" max="10505" width="21.875" style="13" customWidth="1"/>
    <col min="10506" max="10742" width="11" style="13"/>
    <col min="10743" max="10743" width="51" style="13" customWidth="1"/>
    <col min="10744" max="10744" width="19" style="13" customWidth="1"/>
    <col min="10745" max="10745" width="15.375" style="13" customWidth="1"/>
    <col min="10746" max="10746" width="14.5" style="13" customWidth="1"/>
    <col min="10747" max="10747" width="19.75" style="13" customWidth="1"/>
    <col min="10748" max="10748" width="20.5" style="13" customWidth="1"/>
    <col min="10749" max="10749" width="15.25" style="13" customWidth="1"/>
    <col min="10750" max="10750" width="15.625" style="13" customWidth="1"/>
    <col min="10751" max="10751" width="15.625" style="13" bestFit="1" customWidth="1"/>
    <col min="10752" max="10752" width="14.875" style="13" customWidth="1"/>
    <col min="10753" max="10753" width="15.625" style="13" bestFit="1" customWidth="1"/>
    <col min="10754" max="10754" width="15" style="13" customWidth="1"/>
    <col min="10755" max="10755" width="15.625" style="13" bestFit="1" customWidth="1"/>
    <col min="10756" max="10756" width="15.875" style="13" customWidth="1"/>
    <col min="10757" max="10757" width="16.25" style="13" customWidth="1"/>
    <col min="10758" max="10758" width="16.75" style="13" customWidth="1"/>
    <col min="10759" max="10759" width="14.875" style="13" customWidth="1"/>
    <col min="10760" max="10760" width="19.625" style="13" bestFit="1" customWidth="1"/>
    <col min="10761" max="10761" width="21.875" style="13" customWidth="1"/>
    <col min="10762" max="10998" width="11" style="13"/>
    <col min="10999" max="10999" width="51" style="13" customWidth="1"/>
    <col min="11000" max="11000" width="19" style="13" customWidth="1"/>
    <col min="11001" max="11001" width="15.375" style="13" customWidth="1"/>
    <col min="11002" max="11002" width="14.5" style="13" customWidth="1"/>
    <col min="11003" max="11003" width="19.75" style="13" customWidth="1"/>
    <col min="11004" max="11004" width="20.5" style="13" customWidth="1"/>
    <col min="11005" max="11005" width="15.25" style="13" customWidth="1"/>
    <col min="11006" max="11006" width="15.625" style="13" customWidth="1"/>
    <col min="11007" max="11007" width="15.625" style="13" bestFit="1" customWidth="1"/>
    <col min="11008" max="11008" width="14.875" style="13" customWidth="1"/>
    <col min="11009" max="11009" width="15.625" style="13" bestFit="1" customWidth="1"/>
    <col min="11010" max="11010" width="15" style="13" customWidth="1"/>
    <col min="11011" max="11011" width="15.625" style="13" bestFit="1" customWidth="1"/>
    <col min="11012" max="11012" width="15.875" style="13" customWidth="1"/>
    <col min="11013" max="11013" width="16.25" style="13" customWidth="1"/>
    <col min="11014" max="11014" width="16.75" style="13" customWidth="1"/>
    <col min="11015" max="11015" width="14.875" style="13" customWidth="1"/>
    <col min="11016" max="11016" width="19.625" style="13" bestFit="1" customWidth="1"/>
    <col min="11017" max="11017" width="21.875" style="13" customWidth="1"/>
    <col min="11018" max="11254" width="11" style="13"/>
    <col min="11255" max="11255" width="51" style="13" customWidth="1"/>
    <col min="11256" max="11256" width="19" style="13" customWidth="1"/>
    <col min="11257" max="11257" width="15.375" style="13" customWidth="1"/>
    <col min="11258" max="11258" width="14.5" style="13" customWidth="1"/>
    <col min="11259" max="11259" width="19.75" style="13" customWidth="1"/>
    <col min="11260" max="11260" width="20.5" style="13" customWidth="1"/>
    <col min="11261" max="11261" width="15.25" style="13" customWidth="1"/>
    <col min="11262" max="11262" width="15.625" style="13" customWidth="1"/>
    <col min="11263" max="11263" width="15.625" style="13" bestFit="1" customWidth="1"/>
    <col min="11264" max="11264" width="14.875" style="13" customWidth="1"/>
    <col min="11265" max="11265" width="15.625" style="13" bestFit="1" customWidth="1"/>
    <col min="11266" max="11266" width="15" style="13" customWidth="1"/>
    <col min="11267" max="11267" width="15.625" style="13" bestFit="1" customWidth="1"/>
    <col min="11268" max="11268" width="15.875" style="13" customWidth="1"/>
    <col min="11269" max="11269" width="16.25" style="13" customWidth="1"/>
    <col min="11270" max="11270" width="16.75" style="13" customWidth="1"/>
    <col min="11271" max="11271" width="14.875" style="13" customWidth="1"/>
    <col min="11272" max="11272" width="19.625" style="13" bestFit="1" customWidth="1"/>
    <col min="11273" max="11273" width="21.875" style="13" customWidth="1"/>
    <col min="11274" max="11510" width="11" style="13"/>
    <col min="11511" max="11511" width="51" style="13" customWidth="1"/>
    <col min="11512" max="11512" width="19" style="13" customWidth="1"/>
    <col min="11513" max="11513" width="15.375" style="13" customWidth="1"/>
    <col min="11514" max="11514" width="14.5" style="13" customWidth="1"/>
    <col min="11515" max="11515" width="19.75" style="13" customWidth="1"/>
    <col min="11516" max="11516" width="20.5" style="13" customWidth="1"/>
    <col min="11517" max="11517" width="15.25" style="13" customWidth="1"/>
    <col min="11518" max="11518" width="15.625" style="13" customWidth="1"/>
    <col min="11519" max="11519" width="15.625" style="13" bestFit="1" customWidth="1"/>
    <col min="11520" max="11520" width="14.875" style="13" customWidth="1"/>
    <col min="11521" max="11521" width="15.625" style="13" bestFit="1" customWidth="1"/>
    <col min="11522" max="11522" width="15" style="13" customWidth="1"/>
    <col min="11523" max="11523" width="15.625" style="13" bestFit="1" customWidth="1"/>
    <col min="11524" max="11524" width="15.875" style="13" customWidth="1"/>
    <col min="11525" max="11525" width="16.25" style="13" customWidth="1"/>
    <col min="11526" max="11526" width="16.75" style="13" customWidth="1"/>
    <col min="11527" max="11527" width="14.875" style="13" customWidth="1"/>
    <col min="11528" max="11528" width="19.625" style="13" bestFit="1" customWidth="1"/>
    <col min="11529" max="11529" width="21.875" style="13" customWidth="1"/>
    <col min="11530" max="11766" width="11" style="13"/>
    <col min="11767" max="11767" width="51" style="13" customWidth="1"/>
    <col min="11768" max="11768" width="19" style="13" customWidth="1"/>
    <col min="11769" max="11769" width="15.375" style="13" customWidth="1"/>
    <col min="11770" max="11770" width="14.5" style="13" customWidth="1"/>
    <col min="11771" max="11771" width="19.75" style="13" customWidth="1"/>
    <col min="11772" max="11772" width="20.5" style="13" customWidth="1"/>
    <col min="11773" max="11773" width="15.25" style="13" customWidth="1"/>
    <col min="11774" max="11774" width="15.625" style="13" customWidth="1"/>
    <col min="11775" max="11775" width="15.625" style="13" bestFit="1" customWidth="1"/>
    <col min="11776" max="11776" width="14.875" style="13" customWidth="1"/>
    <col min="11777" max="11777" width="15.625" style="13" bestFit="1" customWidth="1"/>
    <col min="11778" max="11778" width="15" style="13" customWidth="1"/>
    <col min="11779" max="11779" width="15.625" style="13" bestFit="1" customWidth="1"/>
    <col min="11780" max="11780" width="15.875" style="13" customWidth="1"/>
    <col min="11781" max="11781" width="16.25" style="13" customWidth="1"/>
    <col min="11782" max="11782" width="16.75" style="13" customWidth="1"/>
    <col min="11783" max="11783" width="14.875" style="13" customWidth="1"/>
    <col min="11784" max="11784" width="19.625" style="13" bestFit="1" customWidth="1"/>
    <col min="11785" max="11785" width="21.875" style="13" customWidth="1"/>
    <col min="11786" max="12022" width="11" style="13"/>
    <col min="12023" max="12023" width="51" style="13" customWidth="1"/>
    <col min="12024" max="12024" width="19" style="13" customWidth="1"/>
    <col min="12025" max="12025" width="15.375" style="13" customWidth="1"/>
    <col min="12026" max="12026" width="14.5" style="13" customWidth="1"/>
    <col min="12027" max="12027" width="19.75" style="13" customWidth="1"/>
    <col min="12028" max="12028" width="20.5" style="13" customWidth="1"/>
    <col min="12029" max="12029" width="15.25" style="13" customWidth="1"/>
    <col min="12030" max="12030" width="15.625" style="13" customWidth="1"/>
    <col min="12031" max="12031" width="15.625" style="13" bestFit="1" customWidth="1"/>
    <col min="12032" max="12032" width="14.875" style="13" customWidth="1"/>
    <col min="12033" max="12033" width="15.625" style="13" bestFit="1" customWidth="1"/>
    <col min="12034" max="12034" width="15" style="13" customWidth="1"/>
    <col min="12035" max="12035" width="15.625" style="13" bestFit="1" customWidth="1"/>
    <col min="12036" max="12036" width="15.875" style="13" customWidth="1"/>
    <col min="12037" max="12037" width="16.25" style="13" customWidth="1"/>
    <col min="12038" max="12038" width="16.75" style="13" customWidth="1"/>
    <col min="12039" max="12039" width="14.875" style="13" customWidth="1"/>
    <col min="12040" max="12040" width="19.625" style="13" bestFit="1" customWidth="1"/>
    <col min="12041" max="12041" width="21.875" style="13" customWidth="1"/>
    <col min="12042" max="12278" width="11" style="13"/>
    <col min="12279" max="12279" width="51" style="13" customWidth="1"/>
    <col min="12280" max="12280" width="19" style="13" customWidth="1"/>
    <col min="12281" max="12281" width="15.375" style="13" customWidth="1"/>
    <col min="12282" max="12282" width="14.5" style="13" customWidth="1"/>
    <col min="12283" max="12283" width="19.75" style="13" customWidth="1"/>
    <col min="12284" max="12284" width="20.5" style="13" customWidth="1"/>
    <col min="12285" max="12285" width="15.25" style="13" customWidth="1"/>
    <col min="12286" max="12286" width="15.625" style="13" customWidth="1"/>
    <col min="12287" max="12287" width="15.625" style="13" bestFit="1" customWidth="1"/>
    <col min="12288" max="12288" width="14.875" style="13" customWidth="1"/>
    <col min="12289" max="12289" width="15.625" style="13" bestFit="1" customWidth="1"/>
    <col min="12290" max="12290" width="15" style="13" customWidth="1"/>
    <col min="12291" max="12291" width="15.625" style="13" bestFit="1" customWidth="1"/>
    <col min="12292" max="12292" width="15.875" style="13" customWidth="1"/>
    <col min="12293" max="12293" width="16.25" style="13" customWidth="1"/>
    <col min="12294" max="12294" width="16.75" style="13" customWidth="1"/>
    <col min="12295" max="12295" width="14.875" style="13" customWidth="1"/>
    <col min="12296" max="12296" width="19.625" style="13" bestFit="1" customWidth="1"/>
    <col min="12297" max="12297" width="21.875" style="13" customWidth="1"/>
    <col min="12298" max="12534" width="11" style="13"/>
    <col min="12535" max="12535" width="51" style="13" customWidth="1"/>
    <col min="12536" max="12536" width="19" style="13" customWidth="1"/>
    <col min="12537" max="12537" width="15.375" style="13" customWidth="1"/>
    <col min="12538" max="12538" width="14.5" style="13" customWidth="1"/>
    <col min="12539" max="12539" width="19.75" style="13" customWidth="1"/>
    <col min="12540" max="12540" width="20.5" style="13" customWidth="1"/>
    <col min="12541" max="12541" width="15.25" style="13" customWidth="1"/>
    <col min="12542" max="12542" width="15.625" style="13" customWidth="1"/>
    <col min="12543" max="12543" width="15.625" style="13" bestFit="1" customWidth="1"/>
    <col min="12544" max="12544" width="14.875" style="13" customWidth="1"/>
    <col min="12545" max="12545" width="15.625" style="13" bestFit="1" customWidth="1"/>
    <col min="12546" max="12546" width="15" style="13" customWidth="1"/>
    <col min="12547" max="12547" width="15.625" style="13" bestFit="1" customWidth="1"/>
    <col min="12548" max="12548" width="15.875" style="13" customWidth="1"/>
    <col min="12549" max="12549" width="16.25" style="13" customWidth="1"/>
    <col min="12550" max="12550" width="16.75" style="13" customWidth="1"/>
    <col min="12551" max="12551" width="14.875" style="13" customWidth="1"/>
    <col min="12552" max="12552" width="19.625" style="13" bestFit="1" customWidth="1"/>
    <col min="12553" max="12553" width="21.875" style="13" customWidth="1"/>
    <col min="12554" max="12790" width="11" style="13"/>
    <col min="12791" max="12791" width="51" style="13" customWidth="1"/>
    <col min="12792" max="12792" width="19" style="13" customWidth="1"/>
    <col min="12793" max="12793" width="15.375" style="13" customWidth="1"/>
    <col min="12794" max="12794" width="14.5" style="13" customWidth="1"/>
    <col min="12795" max="12795" width="19.75" style="13" customWidth="1"/>
    <col min="12796" max="12796" width="20.5" style="13" customWidth="1"/>
    <col min="12797" max="12797" width="15.25" style="13" customWidth="1"/>
    <col min="12798" max="12798" width="15.625" style="13" customWidth="1"/>
    <col min="12799" max="12799" width="15.625" style="13" bestFit="1" customWidth="1"/>
    <col min="12800" max="12800" width="14.875" style="13" customWidth="1"/>
    <col min="12801" max="12801" width="15.625" style="13" bestFit="1" customWidth="1"/>
    <col min="12802" max="12802" width="15" style="13" customWidth="1"/>
    <col min="12803" max="12803" width="15.625" style="13" bestFit="1" customWidth="1"/>
    <col min="12804" max="12804" width="15.875" style="13" customWidth="1"/>
    <col min="12805" max="12805" width="16.25" style="13" customWidth="1"/>
    <col min="12806" max="12806" width="16.75" style="13" customWidth="1"/>
    <col min="12807" max="12807" width="14.875" style="13" customWidth="1"/>
    <col min="12808" max="12808" width="19.625" style="13" bestFit="1" customWidth="1"/>
    <col min="12809" max="12809" width="21.875" style="13" customWidth="1"/>
    <col min="12810" max="13046" width="11" style="13"/>
    <col min="13047" max="13047" width="51" style="13" customWidth="1"/>
    <col min="13048" max="13048" width="19" style="13" customWidth="1"/>
    <col min="13049" max="13049" width="15.375" style="13" customWidth="1"/>
    <col min="13050" max="13050" width="14.5" style="13" customWidth="1"/>
    <col min="13051" max="13051" width="19.75" style="13" customWidth="1"/>
    <col min="13052" max="13052" width="20.5" style="13" customWidth="1"/>
    <col min="13053" max="13053" width="15.25" style="13" customWidth="1"/>
    <col min="13054" max="13054" width="15.625" style="13" customWidth="1"/>
    <col min="13055" max="13055" width="15.625" style="13" bestFit="1" customWidth="1"/>
    <col min="13056" max="13056" width="14.875" style="13" customWidth="1"/>
    <col min="13057" max="13057" width="15.625" style="13" bestFit="1" customWidth="1"/>
    <col min="13058" max="13058" width="15" style="13" customWidth="1"/>
    <col min="13059" max="13059" width="15.625" style="13" bestFit="1" customWidth="1"/>
    <col min="13060" max="13060" width="15.875" style="13" customWidth="1"/>
    <col min="13061" max="13061" width="16.25" style="13" customWidth="1"/>
    <col min="13062" max="13062" width="16.75" style="13" customWidth="1"/>
    <col min="13063" max="13063" width="14.875" style="13" customWidth="1"/>
    <col min="13064" max="13064" width="19.625" style="13" bestFit="1" customWidth="1"/>
    <col min="13065" max="13065" width="21.875" style="13" customWidth="1"/>
    <col min="13066" max="13302" width="11" style="13"/>
    <col min="13303" max="13303" width="51" style="13" customWidth="1"/>
    <col min="13304" max="13304" width="19" style="13" customWidth="1"/>
    <col min="13305" max="13305" width="15.375" style="13" customWidth="1"/>
    <col min="13306" max="13306" width="14.5" style="13" customWidth="1"/>
    <col min="13307" max="13307" width="19.75" style="13" customWidth="1"/>
    <col min="13308" max="13308" width="20.5" style="13" customWidth="1"/>
    <col min="13309" max="13309" width="15.25" style="13" customWidth="1"/>
    <col min="13310" max="13310" width="15.625" style="13" customWidth="1"/>
    <col min="13311" max="13311" width="15.625" style="13" bestFit="1" customWidth="1"/>
    <col min="13312" max="13312" width="14.875" style="13" customWidth="1"/>
    <col min="13313" max="13313" width="15.625" style="13" bestFit="1" customWidth="1"/>
    <col min="13314" max="13314" width="15" style="13" customWidth="1"/>
    <col min="13315" max="13315" width="15.625" style="13" bestFit="1" customWidth="1"/>
    <col min="13316" max="13316" width="15.875" style="13" customWidth="1"/>
    <col min="13317" max="13317" width="16.25" style="13" customWidth="1"/>
    <col min="13318" max="13318" width="16.75" style="13" customWidth="1"/>
    <col min="13319" max="13319" width="14.875" style="13" customWidth="1"/>
    <col min="13320" max="13320" width="19.625" style="13" bestFit="1" customWidth="1"/>
    <col min="13321" max="13321" width="21.875" style="13" customWidth="1"/>
    <col min="13322" max="13558" width="11" style="13"/>
    <col min="13559" max="13559" width="51" style="13" customWidth="1"/>
    <col min="13560" max="13560" width="19" style="13" customWidth="1"/>
    <col min="13561" max="13561" width="15.375" style="13" customWidth="1"/>
    <col min="13562" max="13562" width="14.5" style="13" customWidth="1"/>
    <col min="13563" max="13563" width="19.75" style="13" customWidth="1"/>
    <col min="13564" max="13564" width="20.5" style="13" customWidth="1"/>
    <col min="13565" max="13565" width="15.25" style="13" customWidth="1"/>
    <col min="13566" max="13566" width="15.625" style="13" customWidth="1"/>
    <col min="13567" max="13567" width="15.625" style="13" bestFit="1" customWidth="1"/>
    <col min="13568" max="13568" width="14.875" style="13" customWidth="1"/>
    <col min="13569" max="13569" width="15.625" style="13" bestFit="1" customWidth="1"/>
    <col min="13570" max="13570" width="15" style="13" customWidth="1"/>
    <col min="13571" max="13571" width="15.625" style="13" bestFit="1" customWidth="1"/>
    <col min="13572" max="13572" width="15.875" style="13" customWidth="1"/>
    <col min="13573" max="13573" width="16.25" style="13" customWidth="1"/>
    <col min="13574" max="13574" width="16.75" style="13" customWidth="1"/>
    <col min="13575" max="13575" width="14.875" style="13" customWidth="1"/>
    <col min="13576" max="13576" width="19.625" style="13" bestFit="1" customWidth="1"/>
    <col min="13577" max="13577" width="21.875" style="13" customWidth="1"/>
    <col min="13578" max="13814" width="11" style="13"/>
    <col min="13815" max="13815" width="51" style="13" customWidth="1"/>
    <col min="13816" max="13816" width="19" style="13" customWidth="1"/>
    <col min="13817" max="13817" width="15.375" style="13" customWidth="1"/>
    <col min="13818" max="13818" width="14.5" style="13" customWidth="1"/>
    <col min="13819" max="13819" width="19.75" style="13" customWidth="1"/>
    <col min="13820" max="13820" width="20.5" style="13" customWidth="1"/>
    <col min="13821" max="13821" width="15.25" style="13" customWidth="1"/>
    <col min="13822" max="13822" width="15.625" style="13" customWidth="1"/>
    <col min="13823" max="13823" width="15.625" style="13" bestFit="1" customWidth="1"/>
    <col min="13824" max="13824" width="14.875" style="13" customWidth="1"/>
    <col min="13825" max="13825" width="15.625" style="13" bestFit="1" customWidth="1"/>
    <col min="13826" max="13826" width="15" style="13" customWidth="1"/>
    <col min="13827" max="13827" width="15.625" style="13" bestFit="1" customWidth="1"/>
    <col min="13828" max="13828" width="15.875" style="13" customWidth="1"/>
    <col min="13829" max="13829" width="16.25" style="13" customWidth="1"/>
    <col min="13830" max="13830" width="16.75" style="13" customWidth="1"/>
    <col min="13831" max="13831" width="14.875" style="13" customWidth="1"/>
    <col min="13832" max="13832" width="19.625" style="13" bestFit="1" customWidth="1"/>
    <col min="13833" max="13833" width="21.875" style="13" customWidth="1"/>
    <col min="13834" max="14070" width="11" style="13"/>
    <col min="14071" max="14071" width="51" style="13" customWidth="1"/>
    <col min="14072" max="14072" width="19" style="13" customWidth="1"/>
    <col min="14073" max="14073" width="15.375" style="13" customWidth="1"/>
    <col min="14074" max="14074" width="14.5" style="13" customWidth="1"/>
    <col min="14075" max="14075" width="19.75" style="13" customWidth="1"/>
    <col min="14076" max="14076" width="20.5" style="13" customWidth="1"/>
    <col min="14077" max="14077" width="15.25" style="13" customWidth="1"/>
    <col min="14078" max="14078" width="15.625" style="13" customWidth="1"/>
    <col min="14079" max="14079" width="15.625" style="13" bestFit="1" customWidth="1"/>
    <col min="14080" max="14080" width="14.875" style="13" customWidth="1"/>
    <col min="14081" max="14081" width="15.625" style="13" bestFit="1" customWidth="1"/>
    <col min="14082" max="14082" width="15" style="13" customWidth="1"/>
    <col min="14083" max="14083" width="15.625" style="13" bestFit="1" customWidth="1"/>
    <col min="14084" max="14084" width="15.875" style="13" customWidth="1"/>
    <col min="14085" max="14085" width="16.25" style="13" customWidth="1"/>
    <col min="14086" max="14086" width="16.75" style="13" customWidth="1"/>
    <col min="14087" max="14087" width="14.875" style="13" customWidth="1"/>
    <col min="14088" max="14088" width="19.625" style="13" bestFit="1" customWidth="1"/>
    <col min="14089" max="14089" width="21.875" style="13" customWidth="1"/>
    <col min="14090" max="14326" width="11" style="13"/>
    <col min="14327" max="14327" width="51" style="13" customWidth="1"/>
    <col min="14328" max="14328" width="19" style="13" customWidth="1"/>
    <col min="14329" max="14329" width="15.375" style="13" customWidth="1"/>
    <col min="14330" max="14330" width="14.5" style="13" customWidth="1"/>
    <col min="14331" max="14331" width="19.75" style="13" customWidth="1"/>
    <col min="14332" max="14332" width="20.5" style="13" customWidth="1"/>
    <col min="14333" max="14333" width="15.25" style="13" customWidth="1"/>
    <col min="14334" max="14334" width="15.625" style="13" customWidth="1"/>
    <col min="14335" max="14335" width="15.625" style="13" bestFit="1" customWidth="1"/>
    <col min="14336" max="14336" width="14.875" style="13" customWidth="1"/>
    <col min="14337" max="14337" width="15.625" style="13" bestFit="1" customWidth="1"/>
    <col min="14338" max="14338" width="15" style="13" customWidth="1"/>
    <col min="14339" max="14339" width="15.625" style="13" bestFit="1" customWidth="1"/>
    <col min="14340" max="14340" width="15.875" style="13" customWidth="1"/>
    <col min="14341" max="14341" width="16.25" style="13" customWidth="1"/>
    <col min="14342" max="14342" width="16.75" style="13" customWidth="1"/>
    <col min="14343" max="14343" width="14.875" style="13" customWidth="1"/>
    <col min="14344" max="14344" width="19.625" style="13" bestFit="1" customWidth="1"/>
    <col min="14345" max="14345" width="21.875" style="13" customWidth="1"/>
    <col min="14346" max="14582" width="11" style="13"/>
    <col min="14583" max="14583" width="51" style="13" customWidth="1"/>
    <col min="14584" max="14584" width="19" style="13" customWidth="1"/>
    <col min="14585" max="14585" width="15.375" style="13" customWidth="1"/>
    <col min="14586" max="14586" width="14.5" style="13" customWidth="1"/>
    <col min="14587" max="14587" width="19.75" style="13" customWidth="1"/>
    <col min="14588" max="14588" width="20.5" style="13" customWidth="1"/>
    <col min="14589" max="14589" width="15.25" style="13" customWidth="1"/>
    <col min="14590" max="14590" width="15.625" style="13" customWidth="1"/>
    <col min="14591" max="14591" width="15.625" style="13" bestFit="1" customWidth="1"/>
    <col min="14592" max="14592" width="14.875" style="13" customWidth="1"/>
    <col min="14593" max="14593" width="15.625" style="13" bestFit="1" customWidth="1"/>
    <col min="14594" max="14594" width="15" style="13" customWidth="1"/>
    <col min="14595" max="14595" width="15.625" style="13" bestFit="1" customWidth="1"/>
    <col min="14596" max="14596" width="15.875" style="13" customWidth="1"/>
    <col min="14597" max="14597" width="16.25" style="13" customWidth="1"/>
    <col min="14598" max="14598" width="16.75" style="13" customWidth="1"/>
    <col min="14599" max="14599" width="14.875" style="13" customWidth="1"/>
    <col min="14600" max="14600" width="19.625" style="13" bestFit="1" customWidth="1"/>
    <col min="14601" max="14601" width="21.875" style="13" customWidth="1"/>
    <col min="14602" max="14838" width="11" style="13"/>
    <col min="14839" max="14839" width="51" style="13" customWidth="1"/>
    <col min="14840" max="14840" width="19" style="13" customWidth="1"/>
    <col min="14841" max="14841" width="15.375" style="13" customWidth="1"/>
    <col min="14842" max="14842" width="14.5" style="13" customWidth="1"/>
    <col min="14843" max="14843" width="19.75" style="13" customWidth="1"/>
    <col min="14844" max="14844" width="20.5" style="13" customWidth="1"/>
    <col min="14845" max="14845" width="15.25" style="13" customWidth="1"/>
    <col min="14846" max="14846" width="15.625" style="13" customWidth="1"/>
    <col min="14847" max="14847" width="15.625" style="13" bestFit="1" customWidth="1"/>
    <col min="14848" max="14848" width="14.875" style="13" customWidth="1"/>
    <col min="14849" max="14849" width="15.625" style="13" bestFit="1" customWidth="1"/>
    <col min="14850" max="14850" width="15" style="13" customWidth="1"/>
    <col min="14851" max="14851" width="15.625" style="13" bestFit="1" customWidth="1"/>
    <col min="14852" max="14852" width="15.875" style="13" customWidth="1"/>
    <col min="14853" max="14853" width="16.25" style="13" customWidth="1"/>
    <col min="14854" max="14854" width="16.75" style="13" customWidth="1"/>
    <col min="14855" max="14855" width="14.875" style="13" customWidth="1"/>
    <col min="14856" max="14856" width="19.625" style="13" bestFit="1" customWidth="1"/>
    <col min="14857" max="14857" width="21.875" style="13" customWidth="1"/>
    <col min="14858" max="15094" width="11" style="13"/>
    <col min="15095" max="15095" width="51" style="13" customWidth="1"/>
    <col min="15096" max="15096" width="19" style="13" customWidth="1"/>
    <col min="15097" max="15097" width="15.375" style="13" customWidth="1"/>
    <col min="15098" max="15098" width="14.5" style="13" customWidth="1"/>
    <col min="15099" max="15099" width="19.75" style="13" customWidth="1"/>
    <col min="15100" max="15100" width="20.5" style="13" customWidth="1"/>
    <col min="15101" max="15101" width="15.25" style="13" customWidth="1"/>
    <col min="15102" max="15102" width="15.625" style="13" customWidth="1"/>
    <col min="15103" max="15103" width="15.625" style="13" bestFit="1" customWidth="1"/>
    <col min="15104" max="15104" width="14.875" style="13" customWidth="1"/>
    <col min="15105" max="15105" width="15.625" style="13" bestFit="1" customWidth="1"/>
    <col min="15106" max="15106" width="15" style="13" customWidth="1"/>
    <col min="15107" max="15107" width="15.625" style="13" bestFit="1" customWidth="1"/>
    <col min="15108" max="15108" width="15.875" style="13" customWidth="1"/>
    <col min="15109" max="15109" width="16.25" style="13" customWidth="1"/>
    <col min="15110" max="15110" width="16.75" style="13" customWidth="1"/>
    <col min="15111" max="15111" width="14.875" style="13" customWidth="1"/>
    <col min="15112" max="15112" width="19.625" style="13" bestFit="1" customWidth="1"/>
    <col min="15113" max="15113" width="21.875" style="13" customWidth="1"/>
    <col min="15114" max="15350" width="11" style="13"/>
    <col min="15351" max="15351" width="51" style="13" customWidth="1"/>
    <col min="15352" max="15352" width="19" style="13" customWidth="1"/>
    <col min="15353" max="15353" width="15.375" style="13" customWidth="1"/>
    <col min="15354" max="15354" width="14.5" style="13" customWidth="1"/>
    <col min="15355" max="15355" width="19.75" style="13" customWidth="1"/>
    <col min="15356" max="15356" width="20.5" style="13" customWidth="1"/>
    <col min="15357" max="15357" width="15.25" style="13" customWidth="1"/>
    <col min="15358" max="15358" width="15.625" style="13" customWidth="1"/>
    <col min="15359" max="15359" width="15.625" style="13" bestFit="1" customWidth="1"/>
    <col min="15360" max="15360" width="14.875" style="13" customWidth="1"/>
    <col min="15361" max="15361" width="15.625" style="13" bestFit="1" customWidth="1"/>
    <col min="15362" max="15362" width="15" style="13" customWidth="1"/>
    <col min="15363" max="15363" width="15.625" style="13" bestFit="1" customWidth="1"/>
    <col min="15364" max="15364" width="15.875" style="13" customWidth="1"/>
    <col min="15365" max="15365" width="16.25" style="13" customWidth="1"/>
    <col min="15366" max="15366" width="16.75" style="13" customWidth="1"/>
    <col min="15367" max="15367" width="14.875" style="13" customWidth="1"/>
    <col min="15368" max="15368" width="19.625" style="13" bestFit="1" customWidth="1"/>
    <col min="15369" max="15369" width="21.875" style="13" customWidth="1"/>
    <col min="15370" max="15606" width="11" style="13"/>
    <col min="15607" max="15607" width="51" style="13" customWidth="1"/>
    <col min="15608" max="15608" width="19" style="13" customWidth="1"/>
    <col min="15609" max="15609" width="15.375" style="13" customWidth="1"/>
    <col min="15610" max="15610" width="14.5" style="13" customWidth="1"/>
    <col min="15611" max="15611" width="19.75" style="13" customWidth="1"/>
    <col min="15612" max="15612" width="20.5" style="13" customWidth="1"/>
    <col min="15613" max="15613" width="15.25" style="13" customWidth="1"/>
    <col min="15614" max="15614" width="15.625" style="13" customWidth="1"/>
    <col min="15615" max="15615" width="15.625" style="13" bestFit="1" customWidth="1"/>
    <col min="15616" max="15616" width="14.875" style="13" customWidth="1"/>
    <col min="15617" max="15617" width="15.625" style="13" bestFit="1" customWidth="1"/>
    <col min="15618" max="15618" width="15" style="13" customWidth="1"/>
    <col min="15619" max="15619" width="15.625" style="13" bestFit="1" customWidth="1"/>
    <col min="15620" max="15620" width="15.875" style="13" customWidth="1"/>
    <col min="15621" max="15621" width="16.25" style="13" customWidth="1"/>
    <col min="15622" max="15622" width="16.75" style="13" customWidth="1"/>
    <col min="15623" max="15623" width="14.875" style="13" customWidth="1"/>
    <col min="15624" max="15624" width="19.625" style="13" bestFit="1" customWidth="1"/>
    <col min="15625" max="15625" width="21.875" style="13" customWidth="1"/>
    <col min="15626" max="15862" width="11" style="13"/>
    <col min="15863" max="15863" width="51" style="13" customWidth="1"/>
    <col min="15864" max="15864" width="19" style="13" customWidth="1"/>
    <col min="15865" max="15865" width="15.375" style="13" customWidth="1"/>
    <col min="15866" max="15866" width="14.5" style="13" customWidth="1"/>
    <col min="15867" max="15867" width="19.75" style="13" customWidth="1"/>
    <col min="15868" max="15868" width="20.5" style="13" customWidth="1"/>
    <col min="15869" max="15869" width="15.25" style="13" customWidth="1"/>
    <col min="15870" max="15870" width="15.625" style="13" customWidth="1"/>
    <col min="15871" max="15871" width="15.625" style="13" bestFit="1" customWidth="1"/>
    <col min="15872" max="15872" width="14.875" style="13" customWidth="1"/>
    <col min="15873" max="15873" width="15.625" style="13" bestFit="1" customWidth="1"/>
    <col min="15874" max="15874" width="15" style="13" customWidth="1"/>
    <col min="15875" max="15875" width="15.625" style="13" bestFit="1" customWidth="1"/>
    <col min="15876" max="15876" width="15.875" style="13" customWidth="1"/>
    <col min="15877" max="15877" width="16.25" style="13" customWidth="1"/>
    <col min="15878" max="15878" width="16.75" style="13" customWidth="1"/>
    <col min="15879" max="15879" width="14.875" style="13" customWidth="1"/>
    <col min="15880" max="15880" width="19.625" style="13" bestFit="1" customWidth="1"/>
    <col min="15881" max="15881" width="21.875" style="13" customWidth="1"/>
    <col min="15882" max="16118" width="11" style="13"/>
    <col min="16119" max="16119" width="51" style="13" customWidth="1"/>
    <col min="16120" max="16120" width="19" style="13" customWidth="1"/>
    <col min="16121" max="16121" width="15.375" style="13" customWidth="1"/>
    <col min="16122" max="16122" width="14.5" style="13" customWidth="1"/>
    <col min="16123" max="16123" width="19.75" style="13" customWidth="1"/>
    <col min="16124" max="16124" width="20.5" style="13" customWidth="1"/>
    <col min="16125" max="16125" width="15.25" style="13" customWidth="1"/>
    <col min="16126" max="16126" width="15.625" style="13" customWidth="1"/>
    <col min="16127" max="16127" width="15.625" style="13" bestFit="1" customWidth="1"/>
    <col min="16128" max="16128" width="14.875" style="13" customWidth="1"/>
    <col min="16129" max="16129" width="15.625" style="13" bestFit="1" customWidth="1"/>
    <col min="16130" max="16130" width="15" style="13" customWidth="1"/>
    <col min="16131" max="16131" width="15.625" style="13" bestFit="1" customWidth="1"/>
    <col min="16132" max="16132" width="15.875" style="13" customWidth="1"/>
    <col min="16133" max="16133" width="16.25" style="13" customWidth="1"/>
    <col min="16134" max="16134" width="16.75" style="13" customWidth="1"/>
    <col min="16135" max="16135" width="14.875" style="13" customWidth="1"/>
    <col min="16136" max="16136" width="19.625" style="13" bestFit="1" customWidth="1"/>
    <col min="16137" max="16137" width="21.875" style="13" customWidth="1"/>
    <col min="16138" max="16384" width="11" style="13"/>
  </cols>
  <sheetData>
    <row r="1" spans="2:14" s="116" customFormat="1" ht="36.75" customHeight="1">
      <c r="B1" s="199"/>
      <c r="C1" s="151"/>
      <c r="D1" s="152" t="s">
        <v>1</v>
      </c>
      <c r="E1" s="153" t="s">
        <v>145</v>
      </c>
      <c r="F1" s="153" t="s">
        <v>101</v>
      </c>
      <c r="G1" s="153" t="s">
        <v>2</v>
      </c>
      <c r="H1" s="153" t="s">
        <v>147</v>
      </c>
      <c r="I1" s="153" t="s">
        <v>146</v>
      </c>
      <c r="J1" s="387" t="s">
        <v>150</v>
      </c>
      <c r="K1" s="225" t="s">
        <v>143</v>
      </c>
      <c r="L1" s="243" t="s">
        <v>151</v>
      </c>
    </row>
    <row r="2" spans="2:14" s="116" customFormat="1" ht="36.75" customHeight="1">
      <c r="B2" s="200"/>
      <c r="C2" s="148"/>
      <c r="D2" s="149"/>
      <c r="E2" s="150"/>
      <c r="F2" s="150"/>
      <c r="G2" s="150"/>
      <c r="H2" s="150"/>
      <c r="I2" s="150"/>
      <c r="J2" s="388"/>
      <c r="K2" s="226"/>
      <c r="L2" s="243"/>
    </row>
    <row r="3" spans="2:14" ht="36.75" customHeight="1">
      <c r="B3" s="201" t="s">
        <v>144</v>
      </c>
      <c r="C3" s="143" t="s">
        <v>4</v>
      </c>
      <c r="D3" s="147" t="s">
        <v>5</v>
      </c>
      <c r="E3" s="146">
        <f>E4+E34+E50+E69+E85+E108+E129+E150</f>
        <v>650377324</v>
      </c>
      <c r="F3" s="146">
        <f>F4+F34+F50+F69+F85+F108+F129+F150</f>
        <v>167244166</v>
      </c>
      <c r="G3" s="146">
        <f>G4+G34+G50+G69+G85+G108+G129+G150</f>
        <v>0</v>
      </c>
      <c r="H3" s="146">
        <f>H4+H34+H50+H69+H85+H108+H129+H150</f>
        <v>190900000</v>
      </c>
      <c r="I3" s="146">
        <f>ROUND((E3+F3+G3-H3),1)</f>
        <v>626721490</v>
      </c>
      <c r="J3" s="146">
        <f>J4+J34+J50+J69+J85+J108+J129+J150</f>
        <v>456802488.44652778</v>
      </c>
      <c r="K3" s="146">
        <f>I3-J3</f>
        <v>169919001.55347222</v>
      </c>
      <c r="L3" s="122"/>
    </row>
    <row r="4" spans="2:14" ht="15.75">
      <c r="B4" s="202"/>
      <c r="C4" s="135">
        <v>2020110101</v>
      </c>
      <c r="D4" s="136" t="s">
        <v>7</v>
      </c>
      <c r="E4" s="137">
        <f>'PROYECCION 2020'!C12</f>
        <v>488231324</v>
      </c>
      <c r="F4" s="138">
        <f>SUM(F5:F18)</f>
        <v>167244166</v>
      </c>
      <c r="G4" s="138">
        <f>SUM(G5:G18)</f>
        <v>0</v>
      </c>
      <c r="H4" s="138">
        <f>SUM(H5:H31)</f>
        <v>162900000</v>
      </c>
      <c r="I4" s="139">
        <f>ROUND((E4+F4+G4-H4),1)</f>
        <v>492575490</v>
      </c>
      <c r="J4" s="389">
        <f>SUM(J5:J31)</f>
        <v>410032539</v>
      </c>
      <c r="K4" s="227">
        <f>I4-J4</f>
        <v>82542951</v>
      </c>
      <c r="L4" s="244">
        <f>K4</f>
        <v>82542951</v>
      </c>
    </row>
    <row r="5" spans="2:14">
      <c r="B5" s="252">
        <v>43844</v>
      </c>
      <c r="C5" s="221"/>
      <c r="D5" s="254" t="s">
        <v>178</v>
      </c>
      <c r="E5" s="123"/>
      <c r="F5" s="124"/>
      <c r="G5" s="9"/>
      <c r="H5" s="38">
        <v>8000000</v>
      </c>
      <c r="I5" s="39"/>
      <c r="J5" s="219"/>
      <c r="K5" s="228"/>
      <c r="L5" s="122"/>
    </row>
    <row r="6" spans="2:14">
      <c r="B6" s="204">
        <v>43853</v>
      </c>
      <c r="C6" s="58"/>
      <c r="D6" s="517" t="s">
        <v>104</v>
      </c>
      <c r="E6" s="122"/>
      <c r="F6" s="124"/>
      <c r="G6" s="9"/>
      <c r="H6" s="38"/>
      <c r="I6" s="122"/>
      <c r="J6" s="622">
        <v>34852488</v>
      </c>
      <c r="K6" s="624"/>
      <c r="L6" s="625"/>
      <c r="M6" s="638">
        <v>33524697</v>
      </c>
      <c r="N6" s="623">
        <f>M6-J6</f>
        <v>-1327791</v>
      </c>
    </row>
    <row r="7" spans="2:14">
      <c r="B7" s="252"/>
      <c r="C7" s="221"/>
      <c r="D7" s="254" t="s">
        <v>208</v>
      </c>
      <c r="E7" s="123"/>
      <c r="F7" s="124"/>
      <c r="G7" s="9"/>
      <c r="H7" s="38">
        <v>3500000</v>
      </c>
      <c r="I7" s="39"/>
      <c r="J7" s="219"/>
      <c r="K7" s="228"/>
      <c r="L7" s="122"/>
      <c r="M7" s="639"/>
    </row>
    <row r="8" spans="2:14">
      <c r="B8" s="252">
        <v>43887</v>
      </c>
      <c r="C8" s="221"/>
      <c r="D8" s="254" t="s">
        <v>105</v>
      </c>
      <c r="E8" s="123"/>
      <c r="F8" s="124"/>
      <c r="G8" s="9"/>
      <c r="H8" s="38"/>
      <c r="I8" s="39"/>
      <c r="J8" s="622">
        <v>40024048</v>
      </c>
      <c r="K8" s="228"/>
      <c r="L8" s="122"/>
      <c r="M8" s="639"/>
    </row>
    <row r="9" spans="2:14">
      <c r="B9" s="252"/>
      <c r="C9" s="221"/>
      <c r="D9" s="254" t="s">
        <v>239</v>
      </c>
      <c r="E9" s="123"/>
      <c r="F9" s="124">
        <v>167244166</v>
      </c>
      <c r="G9" s="9"/>
      <c r="H9" s="38"/>
      <c r="I9" s="39"/>
      <c r="J9" s="219"/>
      <c r="K9" s="228"/>
      <c r="L9" s="122"/>
      <c r="M9" s="639"/>
    </row>
    <row r="10" spans="2:14">
      <c r="B10" s="252">
        <v>43914</v>
      </c>
      <c r="C10" s="221"/>
      <c r="D10" s="254" t="s">
        <v>106</v>
      </c>
      <c r="E10" s="123"/>
      <c r="F10" s="124"/>
      <c r="G10" s="9"/>
      <c r="H10" s="38"/>
      <c r="I10" s="39"/>
      <c r="J10" s="622">
        <v>36520548</v>
      </c>
      <c r="K10" s="228"/>
      <c r="L10" s="122"/>
      <c r="M10" s="639"/>
    </row>
    <row r="11" spans="2:14">
      <c r="B11" s="252">
        <v>43945</v>
      </c>
      <c r="C11" s="221"/>
      <c r="D11" s="254" t="s">
        <v>107</v>
      </c>
      <c r="E11" s="123"/>
      <c r="F11" s="124"/>
      <c r="G11" s="9"/>
      <c r="H11" s="38"/>
      <c r="I11" s="39"/>
      <c r="J11" s="622">
        <v>38000126</v>
      </c>
      <c r="K11" s="228"/>
      <c r="L11" s="122"/>
      <c r="M11" s="639"/>
    </row>
    <row r="12" spans="2:14">
      <c r="B12" s="252">
        <v>43959</v>
      </c>
      <c r="C12" s="221"/>
      <c r="D12" s="254" t="s">
        <v>240</v>
      </c>
      <c r="E12" s="123"/>
      <c r="F12" s="124"/>
      <c r="G12" s="9"/>
      <c r="H12" s="38">
        <v>4000000</v>
      </c>
      <c r="I12" s="39"/>
      <c r="J12" s="219"/>
      <c r="K12" s="228"/>
      <c r="L12" s="122"/>
      <c r="M12" s="639"/>
    </row>
    <row r="13" spans="2:14">
      <c r="B13" s="252">
        <v>43978</v>
      </c>
      <c r="C13" s="221"/>
      <c r="D13" s="254" t="s">
        <v>243</v>
      </c>
      <c r="E13" s="123"/>
      <c r="F13" s="124"/>
      <c r="G13" s="9"/>
      <c r="H13" s="38"/>
      <c r="I13" s="39"/>
      <c r="J13" s="622">
        <v>38474514</v>
      </c>
      <c r="K13" s="228"/>
      <c r="L13" s="122"/>
      <c r="M13" s="639"/>
    </row>
    <row r="14" spans="2:14">
      <c r="B14" s="252">
        <v>44006</v>
      </c>
      <c r="C14" s="221"/>
      <c r="D14" s="254" t="s">
        <v>249</v>
      </c>
      <c r="E14" s="123"/>
      <c r="F14" s="124"/>
      <c r="G14" s="9"/>
      <c r="H14" s="38"/>
      <c r="I14" s="39"/>
      <c r="J14" s="622">
        <v>38474514</v>
      </c>
      <c r="K14" s="228"/>
      <c r="L14" s="122"/>
      <c r="M14" s="639"/>
    </row>
    <row r="15" spans="2:14">
      <c r="B15" s="252">
        <v>44013</v>
      </c>
      <c r="C15" s="221"/>
      <c r="D15" s="254" t="s">
        <v>266</v>
      </c>
      <c r="E15" s="123"/>
      <c r="F15" s="124"/>
      <c r="G15" s="9"/>
      <c r="H15" s="38">
        <v>43500000</v>
      </c>
      <c r="I15" s="39"/>
      <c r="J15" s="219"/>
      <c r="K15" s="228"/>
      <c r="L15" s="122"/>
      <c r="M15" s="639"/>
    </row>
    <row r="16" spans="2:14">
      <c r="B16" s="252">
        <v>44036</v>
      </c>
      <c r="C16" s="221"/>
      <c r="D16" s="13" t="s">
        <v>267</v>
      </c>
      <c r="E16" s="123"/>
      <c r="F16" s="124"/>
      <c r="G16" s="9"/>
      <c r="H16" s="38"/>
      <c r="I16" s="39"/>
      <c r="J16" s="637">
        <v>40547517</v>
      </c>
      <c r="K16" s="417"/>
      <c r="L16" s="418"/>
      <c r="M16" s="638">
        <v>38836318</v>
      </c>
      <c r="N16" s="623">
        <f>M16-J16</f>
        <v>-1711199</v>
      </c>
    </row>
    <row r="17" spans="2:13">
      <c r="B17" s="252">
        <v>44036</v>
      </c>
      <c r="C17" s="221"/>
      <c r="D17" s="254" t="s">
        <v>269</v>
      </c>
      <c r="E17" s="123"/>
      <c r="F17" s="124"/>
      <c r="G17" s="9"/>
      <c r="H17" s="38"/>
      <c r="I17" s="39"/>
      <c r="J17" s="622">
        <v>693489</v>
      </c>
      <c r="K17" s="228"/>
      <c r="L17" s="122"/>
    </row>
    <row r="18" spans="2:13">
      <c r="B18" s="252">
        <v>44036</v>
      </c>
      <c r="C18" s="221"/>
      <c r="D18" s="254" t="s">
        <v>272</v>
      </c>
      <c r="E18" s="123"/>
      <c r="F18" s="124"/>
      <c r="G18" s="9"/>
      <c r="H18" s="38"/>
      <c r="I18" s="39"/>
      <c r="J18" s="622">
        <v>177005</v>
      </c>
      <c r="K18" s="228"/>
      <c r="L18" s="122"/>
    </row>
    <row r="19" spans="2:13">
      <c r="B19" s="252">
        <v>44046</v>
      </c>
      <c r="C19" s="221"/>
      <c r="D19" s="254" t="s">
        <v>275</v>
      </c>
      <c r="E19" s="123"/>
      <c r="F19" s="124"/>
      <c r="G19" s="9"/>
      <c r="H19" s="38"/>
      <c r="I19" s="39"/>
      <c r="J19" s="622">
        <v>1135755</v>
      </c>
      <c r="K19" s="228"/>
      <c r="L19" s="122"/>
      <c r="M19" s="191"/>
    </row>
    <row r="20" spans="2:13">
      <c r="B20" s="252">
        <v>44047</v>
      </c>
      <c r="C20" s="221"/>
      <c r="D20" s="254" t="s">
        <v>276</v>
      </c>
      <c r="E20" s="123"/>
      <c r="F20" s="124"/>
      <c r="G20" s="9"/>
      <c r="H20" s="38"/>
      <c r="I20" s="39"/>
      <c r="J20" s="622">
        <v>12374685</v>
      </c>
      <c r="K20" s="228"/>
      <c r="L20" s="21"/>
      <c r="M20" s="191"/>
    </row>
    <row r="21" spans="2:13">
      <c r="B21" s="252">
        <v>44061</v>
      </c>
      <c r="C21" s="221"/>
      <c r="D21" s="222" t="s">
        <v>279</v>
      </c>
      <c r="E21" s="123"/>
      <c r="F21" s="124"/>
      <c r="G21" s="9"/>
      <c r="H21" s="38">
        <v>16000000</v>
      </c>
      <c r="I21" s="39"/>
      <c r="J21" s="219"/>
      <c r="K21" s="228"/>
      <c r="L21" s="21"/>
    </row>
    <row r="22" spans="2:13">
      <c r="B22" s="252">
        <v>44067</v>
      </c>
      <c r="C22" s="221"/>
      <c r="D22" s="222" t="s">
        <v>281</v>
      </c>
      <c r="E22" s="123"/>
      <c r="F22" s="124"/>
      <c r="G22" s="9"/>
      <c r="H22" s="38"/>
      <c r="I22" s="39"/>
      <c r="J22" s="622">
        <v>43932280</v>
      </c>
      <c r="K22" s="228"/>
      <c r="L22" s="21"/>
    </row>
    <row r="23" spans="2:13">
      <c r="B23" s="252">
        <v>44098</v>
      </c>
      <c r="C23" s="221"/>
      <c r="D23" s="222" t="s">
        <v>290</v>
      </c>
      <c r="E23" s="123"/>
      <c r="F23" s="124"/>
      <c r="G23" s="9"/>
      <c r="H23" s="38"/>
      <c r="I23" s="39"/>
      <c r="J23" s="622">
        <v>43932280</v>
      </c>
      <c r="K23" s="228"/>
      <c r="L23" s="21"/>
    </row>
    <row r="24" spans="2:13">
      <c r="B24" s="252"/>
      <c r="C24" s="221"/>
      <c r="D24" s="655" t="s">
        <v>292</v>
      </c>
      <c r="E24" s="412"/>
      <c r="F24" s="654"/>
      <c r="G24" s="415"/>
      <c r="H24" s="656"/>
      <c r="I24" s="415"/>
      <c r="J24" s="416">
        <f>+N6+N16</f>
        <v>-3038990</v>
      </c>
      <c r="K24" s="228"/>
      <c r="L24" s="21"/>
    </row>
    <row r="25" spans="2:13">
      <c r="B25" s="220">
        <v>44109</v>
      </c>
      <c r="C25" s="221"/>
      <c r="D25" s="222" t="s">
        <v>295</v>
      </c>
      <c r="E25" s="123"/>
      <c r="F25" s="124"/>
      <c r="G25" s="9"/>
      <c r="H25" s="38">
        <v>87900000</v>
      </c>
      <c r="I25" s="39"/>
      <c r="J25" s="219"/>
      <c r="K25" s="228"/>
      <c r="L25" s="21"/>
    </row>
    <row r="26" spans="2:13">
      <c r="B26" s="220">
        <v>44131</v>
      </c>
      <c r="C26" s="221"/>
      <c r="D26" s="222" t="s">
        <v>299</v>
      </c>
      <c r="E26" s="123"/>
      <c r="F26" s="124"/>
      <c r="G26" s="9"/>
      <c r="H26" s="38"/>
      <c r="I26" s="39"/>
      <c r="J26" s="219">
        <v>43932280</v>
      </c>
      <c r="K26" s="228"/>
      <c r="L26" s="21"/>
    </row>
    <row r="27" spans="2:13">
      <c r="B27" s="220"/>
      <c r="C27" s="221"/>
      <c r="D27" s="222"/>
      <c r="E27" s="123"/>
      <c r="F27" s="124"/>
      <c r="G27" s="9"/>
      <c r="H27" s="38"/>
      <c r="I27" s="39"/>
      <c r="J27" s="219"/>
      <c r="K27" s="228"/>
      <c r="L27" s="21"/>
    </row>
    <row r="28" spans="2:13">
      <c r="B28" s="220"/>
      <c r="C28" s="221"/>
      <c r="D28" s="222"/>
      <c r="E28" s="123"/>
      <c r="F28" s="124"/>
      <c r="G28" s="9"/>
      <c r="H28" s="38"/>
      <c r="I28" s="39"/>
      <c r="J28" s="219"/>
      <c r="K28" s="228"/>
      <c r="L28" s="21"/>
    </row>
    <row r="29" spans="2:13">
      <c r="B29" s="220"/>
      <c r="C29" s="221"/>
      <c r="D29" s="222"/>
      <c r="E29" s="123"/>
      <c r="F29" s="124"/>
      <c r="G29" s="9"/>
      <c r="H29" s="38"/>
      <c r="I29" s="39"/>
      <c r="J29" s="219"/>
      <c r="K29" s="228"/>
      <c r="L29" s="21"/>
    </row>
    <row r="30" spans="2:13">
      <c r="B30" s="220"/>
      <c r="C30" s="221"/>
      <c r="D30" s="222"/>
      <c r="E30" s="123"/>
      <c r="F30" s="124"/>
      <c r="G30" s="9"/>
      <c r="H30" s="38"/>
      <c r="I30" s="39"/>
      <c r="J30" s="219"/>
      <c r="K30" s="228"/>
      <c r="L30" s="122"/>
    </row>
    <row r="31" spans="2:13">
      <c r="B31" s="204"/>
      <c r="C31" s="58"/>
      <c r="D31" s="56"/>
      <c r="E31" s="123"/>
      <c r="F31" s="124"/>
      <c r="G31" s="9"/>
      <c r="H31" s="38"/>
      <c r="I31" s="39"/>
      <c r="J31" s="219"/>
      <c r="K31" s="228"/>
      <c r="L31" s="122"/>
    </row>
    <row r="32" spans="2:13">
      <c r="B32" s="205"/>
      <c r="C32" s="125" t="s">
        <v>8</v>
      </c>
      <c r="D32" s="120" t="s">
        <v>9</v>
      </c>
      <c r="E32" s="126">
        <v>0</v>
      </c>
      <c r="F32" s="127"/>
      <c r="G32" s="121"/>
      <c r="H32" s="121"/>
      <c r="I32" s="121">
        <f>ROUND((E32+F32+G32-H32),1)</f>
        <v>0</v>
      </c>
      <c r="J32" s="390"/>
      <c r="K32" s="229"/>
      <c r="L32" s="122"/>
    </row>
    <row r="33" spans="2:14">
      <c r="B33" s="206"/>
      <c r="C33" s="128"/>
      <c r="D33" s="118"/>
      <c r="E33" s="129"/>
      <c r="F33" s="130"/>
      <c r="G33" s="119"/>
      <c r="H33" s="119"/>
      <c r="I33" s="119"/>
      <c r="J33" s="391"/>
      <c r="K33" s="230"/>
      <c r="L33" s="122"/>
    </row>
    <row r="34" spans="2:14" s="141" customFormat="1" ht="15.75">
      <c r="B34" s="202"/>
      <c r="C34" s="135" t="s">
        <v>10</v>
      </c>
      <c r="D34" s="136" t="s">
        <v>11</v>
      </c>
      <c r="E34" s="137">
        <f>'PROYECCION 2020'!C13</f>
        <v>1246000</v>
      </c>
      <c r="F34" s="138">
        <f>SUM(F35:F49)</f>
        <v>0</v>
      </c>
      <c r="G34" s="138">
        <f>SUM(G35:G49)</f>
        <v>0</v>
      </c>
      <c r="H34" s="138">
        <f>SUM(H35:H49)</f>
        <v>0</v>
      </c>
      <c r="I34" s="139">
        <f>ROUND((E34+F34+G34-H34),1)</f>
        <v>1246000</v>
      </c>
      <c r="J34" s="389">
        <f>SUM(J35:J48)</f>
        <v>1028540</v>
      </c>
      <c r="K34" s="227">
        <f>I34-J34</f>
        <v>217460</v>
      </c>
      <c r="L34" s="245">
        <f>K34</f>
        <v>217460</v>
      </c>
    </row>
    <row r="35" spans="2:14">
      <c r="B35" s="204">
        <v>43853</v>
      </c>
      <c r="C35" s="58"/>
      <c r="D35" s="517" t="s">
        <v>104</v>
      </c>
      <c r="E35" s="123"/>
      <c r="F35" s="124"/>
      <c r="G35" s="9"/>
      <c r="H35" s="10"/>
      <c r="I35" s="39"/>
      <c r="J35" s="622">
        <v>102854</v>
      </c>
      <c r="K35" s="228"/>
      <c r="L35" s="122"/>
      <c r="M35" s="13">
        <v>102854</v>
      </c>
      <c r="N35" s="623">
        <f>J35-M35</f>
        <v>0</v>
      </c>
    </row>
    <row r="36" spans="2:14">
      <c r="B36" s="252">
        <v>43887</v>
      </c>
      <c r="C36" s="221"/>
      <c r="D36" s="254" t="s">
        <v>105</v>
      </c>
      <c r="E36" s="123"/>
      <c r="F36" s="124"/>
      <c r="G36" s="9"/>
      <c r="H36" s="10"/>
      <c r="I36" s="39"/>
      <c r="J36" s="622">
        <v>102854</v>
      </c>
      <c r="K36" s="228"/>
      <c r="L36" s="122"/>
    </row>
    <row r="37" spans="2:14">
      <c r="B37" s="252">
        <v>43914</v>
      </c>
      <c r="C37" s="221"/>
      <c r="D37" s="254" t="s">
        <v>106</v>
      </c>
      <c r="E37" s="123"/>
      <c r="F37" s="124"/>
      <c r="G37" s="9"/>
      <c r="H37" s="10"/>
      <c r="I37" s="39"/>
      <c r="J37" s="622">
        <v>102854</v>
      </c>
      <c r="K37" s="228"/>
      <c r="L37" s="122"/>
    </row>
    <row r="38" spans="2:14">
      <c r="B38" s="252">
        <v>43945</v>
      </c>
      <c r="C38" s="221"/>
      <c r="D38" s="254" t="s">
        <v>107</v>
      </c>
      <c r="E38" s="123"/>
      <c r="F38" s="124"/>
      <c r="G38" s="9"/>
      <c r="H38" s="10"/>
      <c r="I38" s="39"/>
      <c r="J38" s="622">
        <v>102854</v>
      </c>
      <c r="K38" s="228"/>
      <c r="L38" s="122"/>
    </row>
    <row r="39" spans="2:14">
      <c r="B39" s="252">
        <v>43978</v>
      </c>
      <c r="C39" s="221"/>
      <c r="D39" s="254" t="s">
        <v>243</v>
      </c>
      <c r="E39" s="123"/>
      <c r="F39" s="124"/>
      <c r="G39" s="9"/>
      <c r="H39" s="10"/>
      <c r="I39" s="39"/>
      <c r="J39" s="622">
        <v>102854</v>
      </c>
      <c r="K39" s="228"/>
      <c r="L39" s="122"/>
    </row>
    <row r="40" spans="2:14">
      <c r="B40" s="252">
        <v>44006</v>
      </c>
      <c r="C40" s="221"/>
      <c r="D40" s="254" t="s">
        <v>249</v>
      </c>
      <c r="E40" s="123"/>
      <c r="F40" s="124"/>
      <c r="G40" s="9"/>
      <c r="H40" s="10"/>
      <c r="I40" s="39"/>
      <c r="J40" s="622">
        <v>102854</v>
      </c>
      <c r="K40" s="228"/>
      <c r="L40" s="122"/>
    </row>
    <row r="41" spans="2:14">
      <c r="B41" s="252">
        <v>44036</v>
      </c>
      <c r="C41" s="221"/>
      <c r="D41" s="13" t="s">
        <v>267</v>
      </c>
      <c r="E41" s="123"/>
      <c r="F41" s="124"/>
      <c r="G41" s="9"/>
      <c r="H41" s="10"/>
      <c r="I41" s="39"/>
      <c r="J41" s="622">
        <v>102854</v>
      </c>
      <c r="K41" s="228"/>
      <c r="L41" s="122"/>
    </row>
    <row r="42" spans="2:14">
      <c r="B42" s="252">
        <v>44067</v>
      </c>
      <c r="C42" s="221"/>
      <c r="D42" s="222" t="s">
        <v>281</v>
      </c>
      <c r="E42" s="123"/>
      <c r="F42" s="124"/>
      <c r="G42" s="9"/>
      <c r="H42" s="10"/>
      <c r="I42" s="39"/>
      <c r="J42" s="622">
        <v>102854</v>
      </c>
      <c r="K42" s="228"/>
      <c r="L42" s="122"/>
    </row>
    <row r="43" spans="2:14">
      <c r="B43" s="252">
        <v>44098</v>
      </c>
      <c r="C43" s="221"/>
      <c r="D43" s="222" t="s">
        <v>290</v>
      </c>
      <c r="E43" s="123"/>
      <c r="F43" s="124"/>
      <c r="G43" s="9"/>
      <c r="H43" s="10"/>
      <c r="I43" s="39"/>
      <c r="J43" s="622">
        <v>102854</v>
      </c>
      <c r="K43" s="228"/>
      <c r="L43" s="122"/>
    </row>
    <row r="44" spans="2:14">
      <c r="B44" s="220">
        <v>44131</v>
      </c>
      <c r="C44" s="221"/>
      <c r="D44" s="99" t="s">
        <v>300</v>
      </c>
      <c r="E44" s="123"/>
      <c r="F44" s="124"/>
      <c r="G44" s="9"/>
      <c r="H44" s="10"/>
      <c r="I44" s="39"/>
      <c r="J44" s="622">
        <v>102854</v>
      </c>
      <c r="K44" s="228"/>
      <c r="L44" s="122"/>
    </row>
    <row r="45" spans="2:14">
      <c r="B45" s="220"/>
      <c r="C45" s="221"/>
      <c r="D45" s="222"/>
      <c r="E45" s="123"/>
      <c r="F45" s="124"/>
      <c r="G45" s="9"/>
      <c r="H45" s="10"/>
      <c r="I45" s="39"/>
      <c r="J45" s="219"/>
      <c r="K45" s="228"/>
      <c r="L45" s="122"/>
    </row>
    <row r="46" spans="2:14">
      <c r="B46" s="220"/>
      <c r="C46" s="221"/>
      <c r="D46" s="99"/>
      <c r="E46" s="123"/>
      <c r="F46" s="124"/>
      <c r="G46" s="9"/>
      <c r="H46" s="10"/>
      <c r="I46" s="39"/>
      <c r="J46" s="219"/>
      <c r="K46" s="228"/>
      <c r="L46" s="122"/>
    </row>
    <row r="47" spans="2:14">
      <c r="B47" s="252"/>
      <c r="C47" s="221"/>
      <c r="D47" s="222"/>
      <c r="E47" s="123"/>
      <c r="F47" s="124"/>
      <c r="G47" s="9"/>
      <c r="H47" s="10"/>
      <c r="I47" s="39"/>
      <c r="J47" s="219"/>
      <c r="K47" s="228"/>
      <c r="L47" s="122"/>
    </row>
    <row r="48" spans="2:14">
      <c r="B48" s="220"/>
      <c r="C48" s="221"/>
      <c r="D48" s="222"/>
      <c r="E48" s="123"/>
      <c r="F48" s="124"/>
      <c r="G48" s="9"/>
      <c r="H48" s="10"/>
      <c r="I48" s="39"/>
      <c r="J48" s="219"/>
      <c r="K48" s="228"/>
      <c r="L48" s="122"/>
    </row>
    <row r="49" spans="2:14">
      <c r="B49" s="204"/>
      <c r="C49" s="58"/>
      <c r="D49" s="56"/>
      <c r="E49" s="123"/>
      <c r="F49" s="124"/>
      <c r="G49" s="9"/>
      <c r="H49" s="10"/>
      <c r="I49" s="39"/>
      <c r="J49" s="219"/>
      <c r="K49" s="228"/>
      <c r="L49" s="122"/>
    </row>
    <row r="50" spans="2:14" s="141" customFormat="1" ht="15.75">
      <c r="B50" s="202"/>
      <c r="C50" s="135" t="s">
        <v>12</v>
      </c>
      <c r="D50" s="136" t="s">
        <v>13</v>
      </c>
      <c r="E50" s="137">
        <f>'PROYECCION 2020'!C14</f>
        <v>900000</v>
      </c>
      <c r="F50" s="138">
        <f>SUM(F51:F68)</f>
        <v>0</v>
      </c>
      <c r="G50" s="138">
        <f>SUM(G51:G68)</f>
        <v>0</v>
      </c>
      <c r="H50" s="138">
        <f>SUM(H51:H68)</f>
        <v>0</v>
      </c>
      <c r="I50" s="139">
        <f>ROUND((E50+F50+G50-H50),1)</f>
        <v>900000</v>
      </c>
      <c r="J50" s="389">
        <f>SUM(J51:J68)</f>
        <v>660980</v>
      </c>
      <c r="K50" s="227">
        <f>I50-J50</f>
        <v>239020</v>
      </c>
      <c r="L50" s="245">
        <f>K50</f>
        <v>239020</v>
      </c>
    </row>
    <row r="51" spans="2:14">
      <c r="B51" s="204">
        <v>43853</v>
      </c>
      <c r="C51" s="58"/>
      <c r="D51" s="517" t="s">
        <v>104</v>
      </c>
      <c r="E51" s="288"/>
      <c r="F51" s="124"/>
      <c r="G51" s="9"/>
      <c r="H51" s="10"/>
      <c r="I51" s="289"/>
      <c r="J51" s="622">
        <v>62872</v>
      </c>
      <c r="K51" s="417"/>
      <c r="L51" s="418"/>
      <c r="M51" s="410">
        <v>62878</v>
      </c>
      <c r="N51" s="623">
        <f>J51-M51</f>
        <v>-6</v>
      </c>
    </row>
    <row r="52" spans="2:14">
      <c r="B52" s="252">
        <v>43887</v>
      </c>
      <c r="C52" s="221"/>
      <c r="D52" s="254" t="s">
        <v>105</v>
      </c>
      <c r="E52" s="288"/>
      <c r="F52" s="124"/>
      <c r="G52" s="9"/>
      <c r="H52" s="10"/>
      <c r="I52" s="289"/>
      <c r="J52" s="622">
        <v>62872</v>
      </c>
      <c r="K52" s="417"/>
      <c r="L52" s="418"/>
      <c r="M52" s="410">
        <v>62878</v>
      </c>
      <c r="N52" s="623">
        <f t="shared" ref="N52:N57" si="0">J52-M52</f>
        <v>-6</v>
      </c>
    </row>
    <row r="53" spans="2:14">
      <c r="B53" s="252">
        <v>43914</v>
      </c>
      <c r="C53" s="221"/>
      <c r="D53" s="254" t="s">
        <v>106</v>
      </c>
      <c r="E53" s="288"/>
      <c r="F53" s="124"/>
      <c r="G53" s="9"/>
      <c r="H53" s="10"/>
      <c r="I53" s="289"/>
      <c r="J53" s="622">
        <v>62872</v>
      </c>
      <c r="K53" s="417"/>
      <c r="L53" s="418"/>
      <c r="M53" s="410">
        <v>62878</v>
      </c>
      <c r="N53" s="623">
        <f t="shared" si="0"/>
        <v>-6</v>
      </c>
    </row>
    <row r="54" spans="2:14">
      <c r="B54" s="252">
        <v>43945</v>
      </c>
      <c r="C54" s="221"/>
      <c r="D54" s="254" t="s">
        <v>107</v>
      </c>
      <c r="E54" s="288"/>
      <c r="F54" s="124"/>
      <c r="G54" s="9"/>
      <c r="H54" s="10"/>
      <c r="I54" s="289"/>
      <c r="J54" s="622">
        <v>62872</v>
      </c>
      <c r="K54" s="417"/>
      <c r="L54" s="418"/>
      <c r="M54" s="410">
        <v>62878</v>
      </c>
      <c r="N54" s="623">
        <f t="shared" si="0"/>
        <v>-6</v>
      </c>
    </row>
    <row r="55" spans="2:14">
      <c r="B55" s="252">
        <v>43978</v>
      </c>
      <c r="C55" s="221"/>
      <c r="D55" s="254" t="s">
        <v>243</v>
      </c>
      <c r="E55" s="288"/>
      <c r="F55" s="124"/>
      <c r="G55" s="9"/>
      <c r="H55" s="10"/>
      <c r="I55" s="289"/>
      <c r="J55" s="622">
        <v>62872</v>
      </c>
      <c r="K55" s="417"/>
      <c r="L55" s="418"/>
      <c r="M55" s="410">
        <v>62878</v>
      </c>
      <c r="N55" s="623">
        <f t="shared" si="0"/>
        <v>-6</v>
      </c>
    </row>
    <row r="56" spans="2:14">
      <c r="B56" s="252">
        <v>44006</v>
      </c>
      <c r="C56" s="221"/>
      <c r="D56" s="254" t="s">
        <v>249</v>
      </c>
      <c r="E56" s="288"/>
      <c r="F56" s="124"/>
      <c r="G56" s="9"/>
      <c r="H56" s="10"/>
      <c r="I56" s="289"/>
      <c r="J56" s="622">
        <v>66098</v>
      </c>
      <c r="K56" s="228"/>
      <c r="L56" s="122"/>
      <c r="M56" s="13">
        <v>66098</v>
      </c>
      <c r="N56" s="623">
        <f t="shared" si="0"/>
        <v>0</v>
      </c>
    </row>
    <row r="57" spans="2:14">
      <c r="B57" s="252">
        <v>44006</v>
      </c>
      <c r="C57" s="221"/>
      <c r="D57" s="653" t="s">
        <v>250</v>
      </c>
      <c r="E57" s="412"/>
      <c r="F57" s="654"/>
      <c r="G57" s="415"/>
      <c r="H57" s="415"/>
      <c r="I57" s="415"/>
      <c r="J57" s="416">
        <v>16130</v>
      </c>
      <c r="K57" s="228"/>
      <c r="L57" s="122"/>
      <c r="M57" s="191">
        <v>16100</v>
      </c>
      <c r="N57" s="623">
        <f t="shared" si="0"/>
        <v>30</v>
      </c>
    </row>
    <row r="58" spans="2:14" s="290" customFormat="1">
      <c r="B58" s="252">
        <v>44036</v>
      </c>
      <c r="C58" s="221"/>
      <c r="D58" s="290" t="s">
        <v>267</v>
      </c>
      <c r="E58" s="288"/>
      <c r="F58" s="124"/>
      <c r="G58" s="9"/>
      <c r="H58" s="10"/>
      <c r="I58" s="289"/>
      <c r="J58" s="622">
        <v>66098</v>
      </c>
      <c r="K58" s="515"/>
      <c r="L58" s="254"/>
      <c r="N58" s="640"/>
    </row>
    <row r="59" spans="2:14">
      <c r="B59" s="252">
        <v>44067</v>
      </c>
      <c r="C59" s="221"/>
      <c r="D59" s="222" t="s">
        <v>281</v>
      </c>
      <c r="E59" s="288"/>
      <c r="F59" s="124"/>
      <c r="G59" s="9"/>
      <c r="H59" s="10"/>
      <c r="I59" s="289"/>
      <c r="J59" s="622">
        <v>66098</v>
      </c>
      <c r="K59" s="228"/>
      <c r="L59" s="122"/>
      <c r="N59" s="623"/>
    </row>
    <row r="60" spans="2:14">
      <c r="B60" s="220">
        <v>44098</v>
      </c>
      <c r="C60" s="221"/>
      <c r="D60" s="99" t="s">
        <v>290</v>
      </c>
      <c r="E60" s="288"/>
      <c r="F60" s="124"/>
      <c r="G60" s="9"/>
      <c r="H60" s="10"/>
      <c r="I60" s="289"/>
      <c r="J60" s="622">
        <v>66098</v>
      </c>
      <c r="K60" s="228"/>
      <c r="L60" s="122"/>
    </row>
    <row r="61" spans="2:14">
      <c r="B61" s="220">
        <v>44131</v>
      </c>
      <c r="C61" s="221"/>
      <c r="D61" s="99" t="s">
        <v>300</v>
      </c>
      <c r="E61" s="288"/>
      <c r="F61" s="124"/>
      <c r="G61" s="9"/>
      <c r="H61" s="10"/>
      <c r="I61" s="289"/>
      <c r="J61" s="622">
        <v>66098</v>
      </c>
      <c r="K61" s="228"/>
      <c r="L61" s="122"/>
    </row>
    <row r="62" spans="2:14" ht="15">
      <c r="B62" s="220"/>
      <c r="C62" s="221"/>
      <c r="D62" s="291"/>
      <c r="E62" s="288"/>
      <c r="F62" s="124"/>
      <c r="G62" s="9"/>
      <c r="H62" s="10"/>
      <c r="I62" s="289"/>
      <c r="J62" s="392"/>
      <c r="K62" s="228"/>
      <c r="L62" s="122"/>
    </row>
    <row r="63" spans="2:14">
      <c r="B63" s="252"/>
      <c r="C63" s="221"/>
      <c r="D63" s="222"/>
      <c r="E63" s="288"/>
      <c r="F63" s="124"/>
      <c r="G63" s="9"/>
      <c r="H63" s="10"/>
      <c r="I63" s="289"/>
      <c r="J63" s="392"/>
      <c r="K63" s="228"/>
      <c r="L63" s="122"/>
    </row>
    <row r="64" spans="2:14">
      <c r="B64" s="220"/>
      <c r="C64" s="221"/>
      <c r="D64" s="99"/>
      <c r="E64" s="288"/>
      <c r="F64" s="124"/>
      <c r="G64" s="9"/>
      <c r="H64" s="10"/>
      <c r="I64" s="289"/>
      <c r="J64" s="392"/>
      <c r="K64" s="228"/>
      <c r="L64" s="122"/>
    </row>
    <row r="65" spans="2:14">
      <c r="B65" s="220"/>
      <c r="C65" s="221"/>
      <c r="D65" s="287"/>
      <c r="E65" s="292"/>
      <c r="F65" s="124"/>
      <c r="G65" s="9"/>
      <c r="H65" s="10"/>
      <c r="I65" s="289"/>
      <c r="J65" s="392"/>
      <c r="K65" s="228"/>
      <c r="L65" s="122"/>
    </row>
    <row r="66" spans="2:14">
      <c r="B66" s="220"/>
      <c r="C66" s="254"/>
      <c r="D66" s="254"/>
      <c r="E66" s="290"/>
      <c r="F66" s="124"/>
      <c r="G66" s="9"/>
      <c r="H66" s="10"/>
      <c r="I66" s="289"/>
      <c r="J66" s="392"/>
      <c r="K66" s="228"/>
      <c r="L66" s="122"/>
    </row>
    <row r="67" spans="2:14">
      <c r="B67" s="220"/>
      <c r="C67" s="221"/>
      <c r="D67" s="222"/>
      <c r="E67" s="123"/>
      <c r="F67" s="124"/>
      <c r="G67" s="9"/>
      <c r="H67" s="10"/>
      <c r="I67" s="39"/>
      <c r="J67" s="219"/>
      <c r="K67" s="228"/>
      <c r="L67" s="122"/>
    </row>
    <row r="68" spans="2:14">
      <c r="B68" s="204"/>
      <c r="C68" s="58"/>
      <c r="D68" s="56"/>
      <c r="E68" s="123"/>
      <c r="F68" s="124"/>
      <c r="G68" s="9"/>
      <c r="H68" s="10"/>
      <c r="I68" s="39"/>
      <c r="J68" s="219"/>
      <c r="K68" s="228"/>
      <c r="L68" s="122"/>
    </row>
    <row r="69" spans="2:14" s="141" customFormat="1" ht="15.75">
      <c r="B69" s="202"/>
      <c r="C69" s="135" t="s">
        <v>14</v>
      </c>
      <c r="D69" s="136" t="s">
        <v>15</v>
      </c>
      <c r="E69" s="137">
        <f>'PROYECCION 2020'!C15</f>
        <v>17000000</v>
      </c>
      <c r="F69" s="138">
        <f>SUM(F70:F84)</f>
        <v>0</v>
      </c>
      <c r="G69" s="138">
        <f>SUM(G70:G84)</f>
        <v>0</v>
      </c>
      <c r="H69" s="138">
        <f>SUM(H70:H84)</f>
        <v>4000000</v>
      </c>
      <c r="I69" s="139">
        <f>ROUND((E69+F69+G69-H69),1)</f>
        <v>13000000</v>
      </c>
      <c r="J69" s="389">
        <f>SUM(J70:J84)</f>
        <v>9824184</v>
      </c>
      <c r="K69" s="227">
        <f>I69-J69</f>
        <v>3175816</v>
      </c>
      <c r="L69" s="246"/>
    </row>
    <row r="70" spans="2:14">
      <c r="B70" s="220">
        <v>43893</v>
      </c>
      <c r="C70" s="221"/>
      <c r="D70" s="222" t="s">
        <v>192</v>
      </c>
      <c r="E70" s="288"/>
      <c r="F70" s="124"/>
      <c r="G70" s="9"/>
      <c r="H70" s="10"/>
      <c r="I70" s="289"/>
      <c r="J70" s="622">
        <v>574520</v>
      </c>
      <c r="K70" s="228"/>
      <c r="L70" s="122"/>
    </row>
    <row r="71" spans="2:14">
      <c r="B71" s="220">
        <v>43922</v>
      </c>
      <c r="C71" s="221"/>
      <c r="D71" s="222" t="s">
        <v>236</v>
      </c>
      <c r="E71" s="288"/>
      <c r="F71" s="124"/>
      <c r="G71" s="9"/>
      <c r="H71" s="10"/>
      <c r="I71" s="289"/>
      <c r="J71" s="622">
        <v>1021793</v>
      </c>
      <c r="K71" s="228"/>
      <c r="L71" s="122"/>
    </row>
    <row r="72" spans="2:14">
      <c r="B72" s="252">
        <v>43922</v>
      </c>
      <c r="C72" s="221"/>
      <c r="D72" s="254" t="s">
        <v>235</v>
      </c>
      <c r="E72" s="288"/>
      <c r="F72" s="124"/>
      <c r="G72" s="9"/>
      <c r="H72" s="10"/>
      <c r="I72" s="289"/>
      <c r="J72" s="622">
        <v>632726</v>
      </c>
      <c r="K72" s="228"/>
      <c r="L72" s="122"/>
    </row>
    <row r="73" spans="2:14">
      <c r="B73" s="220">
        <v>44036</v>
      </c>
      <c r="C73" s="221"/>
      <c r="D73" s="222" t="s">
        <v>198</v>
      </c>
      <c r="E73" s="288"/>
      <c r="F73" s="124"/>
      <c r="G73" s="9"/>
      <c r="H73" s="10"/>
      <c r="I73" s="289"/>
      <c r="J73" s="622">
        <v>1796654</v>
      </c>
      <c r="K73" s="228"/>
      <c r="L73" s="122"/>
    </row>
    <row r="74" spans="2:14">
      <c r="B74" s="220"/>
      <c r="C74" s="221"/>
      <c r="D74" s="222" t="s">
        <v>204</v>
      </c>
      <c r="E74" s="288"/>
      <c r="F74" s="124"/>
      <c r="G74" s="9"/>
      <c r="H74" s="10"/>
      <c r="I74" s="289"/>
      <c r="J74" s="622">
        <v>1184737</v>
      </c>
      <c r="K74" s="417"/>
      <c r="L74" s="418"/>
      <c r="M74" s="410">
        <v>1184702</v>
      </c>
      <c r="N74" s="635">
        <f>M74-J74</f>
        <v>-35</v>
      </c>
    </row>
    <row r="75" spans="2:14">
      <c r="B75" s="220"/>
      <c r="C75" s="221"/>
      <c r="D75" s="222" t="s">
        <v>268</v>
      </c>
      <c r="E75" s="288"/>
      <c r="F75" s="124"/>
      <c r="G75" s="9"/>
      <c r="H75" s="10"/>
      <c r="I75" s="289"/>
      <c r="J75" s="622">
        <v>537656</v>
      </c>
      <c r="K75" s="228"/>
      <c r="L75" s="122"/>
    </row>
    <row r="76" spans="2:14">
      <c r="B76" s="220">
        <v>44036</v>
      </c>
      <c r="C76" s="221"/>
      <c r="D76" s="222" t="s">
        <v>270</v>
      </c>
      <c r="E76" s="288"/>
      <c r="F76" s="124"/>
      <c r="G76" s="9"/>
      <c r="H76" s="10"/>
      <c r="I76" s="289"/>
      <c r="J76" s="636">
        <v>56199</v>
      </c>
      <c r="K76" s="228"/>
      <c r="L76" s="122"/>
    </row>
    <row r="77" spans="2:14">
      <c r="B77" s="252">
        <v>44036</v>
      </c>
      <c r="C77" s="221"/>
      <c r="D77" s="254" t="s">
        <v>272</v>
      </c>
      <c r="E77" s="288"/>
      <c r="F77" s="124"/>
      <c r="G77" s="9"/>
      <c r="H77" s="10"/>
      <c r="I77" s="289"/>
      <c r="J77" s="622">
        <v>34800</v>
      </c>
      <c r="K77" s="228"/>
      <c r="L77" s="122"/>
    </row>
    <row r="78" spans="2:14">
      <c r="B78" s="220">
        <v>44092</v>
      </c>
      <c r="C78" s="221"/>
      <c r="D78" s="222" t="s">
        <v>261</v>
      </c>
      <c r="E78" s="288"/>
      <c r="F78" s="124"/>
      <c r="G78" s="9"/>
      <c r="H78" s="10"/>
      <c r="I78" s="289"/>
      <c r="J78" s="622">
        <v>1574623</v>
      </c>
      <c r="K78" s="228"/>
      <c r="L78" s="122"/>
    </row>
    <row r="79" spans="2:14">
      <c r="B79" s="220">
        <v>44092</v>
      </c>
      <c r="C79" s="221"/>
      <c r="D79" s="222" t="s">
        <v>139</v>
      </c>
      <c r="E79" s="288"/>
      <c r="F79" s="124"/>
      <c r="G79" s="9"/>
      <c r="H79" s="10"/>
      <c r="I79" s="289"/>
      <c r="J79" s="622">
        <v>1796654</v>
      </c>
      <c r="K79" s="228"/>
      <c r="L79" s="122"/>
      <c r="N79" s="13" t="s">
        <v>117</v>
      </c>
    </row>
    <row r="80" spans="2:14">
      <c r="B80" s="220" t="s">
        <v>113</v>
      </c>
      <c r="C80" s="221"/>
      <c r="D80" s="222" t="s">
        <v>292</v>
      </c>
      <c r="E80" s="288"/>
      <c r="F80" s="124"/>
      <c r="G80" s="9"/>
      <c r="H80" s="10"/>
      <c r="I80" s="289"/>
      <c r="J80" s="416">
        <f>+N74</f>
        <v>-35</v>
      </c>
      <c r="K80" s="228"/>
      <c r="L80" s="122"/>
    </row>
    <row r="81" spans="2:12">
      <c r="B81" s="220">
        <v>44109</v>
      </c>
      <c r="C81" s="221"/>
      <c r="D81" s="222" t="s">
        <v>307</v>
      </c>
      <c r="E81" s="288"/>
      <c r="F81" s="124"/>
      <c r="G81" s="9"/>
      <c r="H81" s="10">
        <v>4000000</v>
      </c>
      <c r="K81" s="228"/>
      <c r="L81" s="122"/>
    </row>
    <row r="82" spans="2:12">
      <c r="B82" s="220">
        <v>44123</v>
      </c>
      <c r="C82" s="221"/>
      <c r="D82" s="222" t="s">
        <v>298</v>
      </c>
      <c r="E82" s="288"/>
      <c r="F82" s="124"/>
      <c r="G82" s="9"/>
      <c r="H82" s="10"/>
      <c r="I82" s="289"/>
      <c r="J82" s="622">
        <v>613857</v>
      </c>
      <c r="K82" s="228"/>
      <c r="L82" s="122"/>
    </row>
    <row r="83" spans="2:12">
      <c r="B83" s="220"/>
      <c r="C83" s="221"/>
      <c r="D83" s="222"/>
      <c r="E83" s="288"/>
      <c r="F83" s="124"/>
      <c r="G83" s="9"/>
      <c r="H83" s="10"/>
      <c r="I83" s="289"/>
      <c r="J83" s="392"/>
      <c r="K83" s="228"/>
      <c r="L83" s="122"/>
    </row>
    <row r="84" spans="2:12" ht="15">
      <c r="B84" s="220"/>
      <c r="C84" s="221"/>
      <c r="D84" s="291"/>
      <c r="E84" s="288"/>
      <c r="F84" s="124"/>
      <c r="G84" s="9"/>
      <c r="H84" s="10"/>
      <c r="I84" s="289"/>
      <c r="J84" s="392"/>
      <c r="K84" s="228"/>
      <c r="L84" s="122"/>
    </row>
    <row r="85" spans="2:12" s="141" customFormat="1" ht="15.75">
      <c r="B85" s="202"/>
      <c r="C85" s="135" t="s">
        <v>16</v>
      </c>
      <c r="D85" s="136" t="s">
        <v>17</v>
      </c>
      <c r="E85" s="137">
        <f>'PROYECCION 2020'!C16</f>
        <v>24000000</v>
      </c>
      <c r="F85" s="138">
        <f>SUM(F86:F107)</f>
        <v>0</v>
      </c>
      <c r="G85" s="138">
        <f>SUM(G86:G107)</f>
        <v>0</v>
      </c>
      <c r="H85" s="138">
        <f>SUM(H86:H107)</f>
        <v>3000000</v>
      </c>
      <c r="I85" s="139">
        <f>ROUND((E85+F85+G85-H85),1)</f>
        <v>21000000</v>
      </c>
      <c r="J85" s="389">
        <f>SUM(J86:J107)</f>
        <v>20929205.446527775</v>
      </c>
      <c r="K85" s="227">
        <f>I85-J85</f>
        <v>70794.553472224623</v>
      </c>
      <c r="L85" s="245">
        <f>K85</f>
        <v>70794.553472224623</v>
      </c>
    </row>
    <row r="86" spans="2:12">
      <c r="B86" s="220">
        <v>43893</v>
      </c>
      <c r="C86" s="221"/>
      <c r="D86" s="222" t="s">
        <v>192</v>
      </c>
      <c r="E86" s="288"/>
      <c r="F86" s="124"/>
      <c r="G86" s="11"/>
      <c r="H86" s="10"/>
      <c r="I86" s="39"/>
      <c r="J86" s="622">
        <v>2853010</v>
      </c>
      <c r="K86" s="228"/>
      <c r="L86" s="122"/>
    </row>
    <row r="87" spans="2:12">
      <c r="B87" s="220">
        <v>43922</v>
      </c>
      <c r="C87" s="221"/>
      <c r="D87" s="222" t="s">
        <v>236</v>
      </c>
      <c r="E87" s="288"/>
      <c r="F87" s="124"/>
      <c r="G87" s="11"/>
      <c r="H87" s="10"/>
      <c r="I87" s="39"/>
      <c r="J87" s="622">
        <v>1691534</v>
      </c>
      <c r="K87" s="228"/>
      <c r="L87" s="122"/>
    </row>
    <row r="88" spans="2:12">
      <c r="B88" s="252">
        <v>43922</v>
      </c>
      <c r="C88" s="221"/>
      <c r="D88" s="254" t="s">
        <v>235</v>
      </c>
      <c r="E88" s="288"/>
      <c r="F88" s="124"/>
      <c r="G88" s="11"/>
      <c r="H88" s="10"/>
      <c r="I88" s="39"/>
      <c r="J88" s="622">
        <v>603325</v>
      </c>
      <c r="K88" s="228"/>
      <c r="L88" s="122"/>
    </row>
    <row r="89" spans="2:12">
      <c r="B89" s="220">
        <v>44015</v>
      </c>
      <c r="C89" s="221"/>
      <c r="D89" s="612" t="s">
        <v>190</v>
      </c>
      <c r="E89" s="123"/>
      <c r="F89" s="124"/>
      <c r="G89" s="9"/>
      <c r="H89" s="43"/>
      <c r="I89" s="39"/>
      <c r="J89" s="636">
        <v>2572720.9138888889</v>
      </c>
      <c r="K89" s="228"/>
      <c r="L89" s="122"/>
    </row>
    <row r="90" spans="2:12">
      <c r="B90" s="220">
        <v>44015</v>
      </c>
      <c r="C90" s="221"/>
      <c r="D90" s="613" t="s">
        <v>259</v>
      </c>
      <c r="E90" s="123"/>
      <c r="F90" s="124"/>
      <c r="G90" s="9"/>
      <c r="H90" s="43"/>
      <c r="I90" s="39"/>
      <c r="J90" s="636">
        <v>696062.9847222222</v>
      </c>
      <c r="K90" s="228"/>
      <c r="L90" s="122"/>
    </row>
    <row r="91" spans="2:12">
      <c r="B91" s="220">
        <v>44015</v>
      </c>
      <c r="C91" s="221"/>
      <c r="D91" s="614" t="s">
        <v>139</v>
      </c>
      <c r="E91" s="123"/>
      <c r="F91" s="124"/>
      <c r="G91" s="9"/>
      <c r="H91" s="43"/>
      <c r="I91" s="39"/>
      <c r="J91" s="636">
        <v>2503799.3770833332</v>
      </c>
      <c r="K91" s="228"/>
      <c r="L91" s="122"/>
    </row>
    <row r="92" spans="2:12">
      <c r="B92" s="220">
        <v>44015</v>
      </c>
      <c r="C92" s="221"/>
      <c r="D92" s="614" t="s">
        <v>260</v>
      </c>
      <c r="E92" s="123"/>
      <c r="F92" s="124"/>
      <c r="G92" s="9"/>
      <c r="H92" s="43"/>
      <c r="I92" s="39"/>
      <c r="J92" s="636">
        <v>2481250.5541666667</v>
      </c>
      <c r="K92" s="228"/>
      <c r="L92" s="122"/>
    </row>
    <row r="93" spans="2:12">
      <c r="B93" s="220">
        <v>44015</v>
      </c>
      <c r="C93" s="221"/>
      <c r="D93" s="614" t="s">
        <v>261</v>
      </c>
      <c r="E93" s="123"/>
      <c r="F93" s="124"/>
      <c r="G93" s="9"/>
      <c r="H93" s="43"/>
      <c r="I93" s="39"/>
      <c r="J93" s="636">
        <v>1730696.8770833334</v>
      </c>
      <c r="K93" s="228"/>
      <c r="L93" s="122"/>
    </row>
    <row r="94" spans="2:12">
      <c r="B94" s="220">
        <v>44015</v>
      </c>
      <c r="C94" s="221"/>
      <c r="D94" s="614" t="s">
        <v>204</v>
      </c>
      <c r="E94" s="123"/>
      <c r="F94" s="124"/>
      <c r="G94" s="9"/>
      <c r="H94" s="43"/>
      <c r="I94" s="39"/>
      <c r="J94" s="636">
        <v>1650989.6812499999</v>
      </c>
      <c r="K94" s="228"/>
      <c r="L94" s="122"/>
    </row>
    <row r="95" spans="2:12">
      <c r="B95" s="220">
        <v>44015</v>
      </c>
      <c r="C95" s="221"/>
      <c r="D95" s="614" t="s">
        <v>205</v>
      </c>
      <c r="E95" s="123"/>
      <c r="F95" s="124"/>
      <c r="G95" s="9"/>
      <c r="H95" s="43"/>
      <c r="I95" s="39"/>
      <c r="J95" s="636">
        <v>1277753.6416666666</v>
      </c>
      <c r="K95" s="228"/>
      <c r="L95" s="122"/>
    </row>
    <row r="96" spans="2:12">
      <c r="B96" s="220">
        <v>44015</v>
      </c>
      <c r="C96" s="58"/>
      <c r="D96" s="614" t="s">
        <v>199</v>
      </c>
      <c r="E96" s="123"/>
      <c r="F96" s="124"/>
      <c r="G96" s="9"/>
      <c r="H96" s="43"/>
      <c r="I96" s="39"/>
      <c r="J96" s="636">
        <v>620771</v>
      </c>
      <c r="K96" s="228"/>
      <c r="L96" s="122"/>
    </row>
    <row r="97" spans="2:14">
      <c r="B97" s="220">
        <v>44015</v>
      </c>
      <c r="C97" s="58"/>
      <c r="D97" s="614" t="s">
        <v>262</v>
      </c>
      <c r="E97" s="123"/>
      <c r="F97" s="124"/>
      <c r="G97" s="9"/>
      <c r="H97" s="43"/>
      <c r="I97" s="39"/>
      <c r="J97" s="636">
        <v>615337.41666666663</v>
      </c>
      <c r="K97" s="228"/>
      <c r="L97" s="122"/>
    </row>
    <row r="98" spans="2:14">
      <c r="B98" s="220">
        <v>44036</v>
      </c>
      <c r="C98" s="221"/>
      <c r="D98" s="222" t="s">
        <v>270</v>
      </c>
      <c r="E98" s="123"/>
      <c r="F98" s="124"/>
      <c r="G98" s="11"/>
      <c r="H98" s="10"/>
      <c r="I98" s="39"/>
      <c r="J98" s="636">
        <v>56199</v>
      </c>
      <c r="K98" s="417"/>
      <c r="L98" s="418"/>
      <c r="M98" s="645">
        <v>93035</v>
      </c>
      <c r="N98" s="633">
        <f>+M98-J98</f>
        <v>36836</v>
      </c>
    </row>
    <row r="99" spans="2:14">
      <c r="B99" s="252">
        <v>44036</v>
      </c>
      <c r="C99" s="221"/>
      <c r="D99" s="254" t="s">
        <v>272</v>
      </c>
      <c r="E99" s="123"/>
      <c r="F99" s="124"/>
      <c r="G99" s="11"/>
      <c r="H99" s="10"/>
      <c r="I99" s="39"/>
      <c r="J99" s="622">
        <v>33183</v>
      </c>
      <c r="K99" s="228"/>
      <c r="L99" s="122"/>
    </row>
    <row r="100" spans="2:14">
      <c r="B100" s="204">
        <v>44047</v>
      </c>
      <c r="C100" s="58"/>
      <c r="D100" s="56" t="s">
        <v>277</v>
      </c>
      <c r="E100" s="123"/>
      <c r="F100" s="124"/>
      <c r="G100" s="11"/>
      <c r="H100" s="10"/>
      <c r="I100" s="39"/>
      <c r="J100" s="622">
        <v>1444541</v>
      </c>
      <c r="K100" s="228"/>
      <c r="L100" s="122"/>
    </row>
    <row r="101" spans="2:14">
      <c r="B101" s="204">
        <v>44123</v>
      </c>
      <c r="C101" s="58"/>
      <c r="D101" s="655" t="s">
        <v>292</v>
      </c>
      <c r="E101" s="412"/>
      <c r="F101" s="654"/>
      <c r="G101" s="414"/>
      <c r="H101" s="415"/>
      <c r="I101" s="415"/>
      <c r="J101" s="416">
        <v>36836</v>
      </c>
      <c r="K101" s="228"/>
      <c r="L101" s="122"/>
    </row>
    <row r="102" spans="2:14">
      <c r="B102" s="220">
        <v>44123</v>
      </c>
      <c r="C102" s="221"/>
      <c r="D102" s="222" t="s">
        <v>298</v>
      </c>
      <c r="E102" s="123"/>
      <c r="F102" s="124"/>
      <c r="G102" s="11"/>
      <c r="H102" s="10"/>
      <c r="I102" s="39"/>
      <c r="J102" s="622">
        <v>61195</v>
      </c>
      <c r="K102" s="228"/>
      <c r="L102" s="122"/>
    </row>
    <row r="103" spans="2:14">
      <c r="B103" s="220">
        <v>44109</v>
      </c>
      <c r="C103" s="221"/>
      <c r="D103" s="222" t="s">
        <v>307</v>
      </c>
      <c r="E103" s="123"/>
      <c r="F103" s="124"/>
      <c r="G103" s="11"/>
      <c r="H103" s="10">
        <v>3000000</v>
      </c>
      <c r="I103" s="39"/>
      <c r="J103" s="219"/>
      <c r="K103" s="228"/>
      <c r="L103" s="122"/>
    </row>
    <row r="104" spans="2:14">
      <c r="B104" s="204"/>
      <c r="C104" s="58"/>
      <c r="D104" s="56"/>
      <c r="E104" s="123"/>
      <c r="F104" s="124"/>
      <c r="G104" s="11"/>
      <c r="H104" s="10"/>
      <c r="I104" s="39"/>
      <c r="J104" s="219"/>
      <c r="K104" s="228"/>
      <c r="L104" s="122"/>
    </row>
    <row r="105" spans="2:14">
      <c r="B105" s="204"/>
      <c r="C105" s="58"/>
      <c r="D105" s="56"/>
      <c r="E105" s="123"/>
      <c r="F105" s="124"/>
      <c r="G105" s="11"/>
      <c r="H105" s="10"/>
      <c r="I105" s="39"/>
      <c r="J105" s="219"/>
      <c r="K105" s="228"/>
      <c r="L105" s="122"/>
    </row>
    <row r="106" spans="2:14">
      <c r="B106" s="204"/>
      <c r="C106" s="58"/>
      <c r="D106" s="56"/>
      <c r="E106" s="123"/>
      <c r="F106" s="124"/>
      <c r="G106" s="11"/>
      <c r="H106" s="10"/>
      <c r="I106" s="39"/>
      <c r="J106" s="219"/>
      <c r="K106" s="228"/>
      <c r="L106" s="122"/>
    </row>
    <row r="107" spans="2:14">
      <c r="B107" s="204"/>
      <c r="C107" s="58"/>
      <c r="D107" s="56"/>
      <c r="E107" s="123"/>
      <c r="F107" s="124"/>
      <c r="G107" s="11"/>
      <c r="H107" s="10"/>
      <c r="I107" s="39"/>
      <c r="J107" s="219"/>
      <c r="K107" s="228"/>
      <c r="L107" s="122"/>
    </row>
    <row r="108" spans="2:14" s="141" customFormat="1" ht="15.75">
      <c r="B108" s="202"/>
      <c r="C108" s="135" t="s">
        <v>18</v>
      </c>
      <c r="D108" s="136" t="s">
        <v>19</v>
      </c>
      <c r="E108" s="137">
        <f>'PROYECCION 2020'!C17</f>
        <v>28000000</v>
      </c>
      <c r="F108" s="138">
        <f>SUM(F109:F128)</f>
        <v>0</v>
      </c>
      <c r="G108" s="138">
        <f>SUM(G109:G128)</f>
        <v>0</v>
      </c>
      <c r="H108" s="138">
        <f>SUM(H109:H128)</f>
        <v>9000000</v>
      </c>
      <c r="I108" s="139">
        <f>ROUND((E108+F108+G108-H108),1)</f>
        <v>19000000</v>
      </c>
      <c r="J108" s="389">
        <f>SUM(J109:J128)</f>
        <v>4445242</v>
      </c>
      <c r="K108" s="227">
        <f>I108-J108</f>
        <v>14554758</v>
      </c>
      <c r="L108" s="245">
        <f>K108</f>
        <v>14554758</v>
      </c>
    </row>
    <row r="109" spans="2:14">
      <c r="B109" s="220">
        <v>43893</v>
      </c>
      <c r="C109" s="221"/>
      <c r="D109" s="222" t="s">
        <v>192</v>
      </c>
      <c r="E109" s="123"/>
      <c r="F109" s="124"/>
      <c r="G109" s="9"/>
      <c r="H109" s="43"/>
      <c r="I109" s="39"/>
      <c r="J109" s="622">
        <v>841370</v>
      </c>
      <c r="K109" s="228"/>
      <c r="L109" s="122"/>
    </row>
    <row r="110" spans="2:14">
      <c r="B110" s="220">
        <v>43922</v>
      </c>
      <c r="C110" s="221"/>
      <c r="D110" s="222" t="s">
        <v>236</v>
      </c>
      <c r="E110" s="123"/>
      <c r="F110" s="124"/>
      <c r="G110" s="9"/>
      <c r="H110" s="43"/>
      <c r="I110" s="39"/>
      <c r="J110" s="622">
        <v>1575990</v>
      </c>
      <c r="K110" s="228"/>
      <c r="L110" s="122"/>
    </row>
    <row r="111" spans="2:14">
      <c r="B111" s="252">
        <v>43922</v>
      </c>
      <c r="C111" s="221"/>
      <c r="D111" s="254" t="s">
        <v>235</v>
      </c>
      <c r="E111" s="123"/>
      <c r="F111" s="124"/>
      <c r="G111" s="9"/>
      <c r="H111" s="43"/>
      <c r="I111" s="39"/>
      <c r="J111" s="622">
        <v>993165</v>
      </c>
      <c r="K111" s="228"/>
      <c r="L111" s="122"/>
    </row>
    <row r="112" spans="2:14">
      <c r="B112" s="220">
        <v>44036</v>
      </c>
      <c r="C112" s="221"/>
      <c r="D112" s="222" t="s">
        <v>270</v>
      </c>
      <c r="E112" s="123"/>
      <c r="F112" s="124"/>
      <c r="G112" s="9"/>
      <c r="H112" s="43"/>
      <c r="I112" s="39"/>
      <c r="J112" s="622">
        <v>93035</v>
      </c>
      <c r="K112" s="417"/>
      <c r="L112" s="418"/>
      <c r="M112" s="410">
        <v>86680</v>
      </c>
      <c r="N112" s="633">
        <f>+M112-J112</f>
        <v>-6355</v>
      </c>
    </row>
    <row r="113" spans="2:12">
      <c r="B113" s="252">
        <v>44036</v>
      </c>
      <c r="C113" s="221"/>
      <c r="D113" s="254" t="s">
        <v>272</v>
      </c>
      <c r="E113" s="123"/>
      <c r="F113" s="124"/>
      <c r="G113" s="9"/>
      <c r="H113" s="43"/>
      <c r="I113" s="39"/>
      <c r="J113" s="622">
        <v>54624</v>
      </c>
      <c r="K113" s="228"/>
      <c r="L113" s="122"/>
    </row>
    <row r="114" spans="2:12">
      <c r="B114" s="411">
        <v>44123</v>
      </c>
      <c r="C114" s="386"/>
      <c r="D114" s="657" t="s">
        <v>292</v>
      </c>
      <c r="E114" s="412"/>
      <c r="F114" s="654"/>
      <c r="G114" s="415"/>
      <c r="H114" s="414"/>
      <c r="I114" s="415"/>
      <c r="J114" s="416">
        <v>-6355</v>
      </c>
      <c r="K114" s="228"/>
      <c r="L114" s="122"/>
    </row>
    <row r="115" spans="2:12">
      <c r="B115" s="220">
        <v>44123</v>
      </c>
      <c r="C115" s="221"/>
      <c r="D115" s="614" t="s">
        <v>298</v>
      </c>
      <c r="E115" s="123"/>
      <c r="F115" s="124"/>
      <c r="G115" s="9"/>
      <c r="H115" s="43"/>
      <c r="I115" s="39"/>
      <c r="J115" s="219">
        <v>893413</v>
      </c>
      <c r="K115" s="228"/>
      <c r="L115" s="122"/>
    </row>
    <row r="116" spans="2:12">
      <c r="B116" s="220">
        <v>44109</v>
      </c>
      <c r="C116" s="221"/>
      <c r="D116" s="222" t="s">
        <v>307</v>
      </c>
      <c r="E116" s="123"/>
      <c r="F116" s="124"/>
      <c r="G116" s="9"/>
      <c r="H116" s="43">
        <v>9000000</v>
      </c>
      <c r="I116" s="39"/>
      <c r="J116" s="219"/>
      <c r="K116" s="228"/>
      <c r="L116" s="122"/>
    </row>
    <row r="117" spans="2:12">
      <c r="B117" s="220"/>
      <c r="C117" s="221"/>
      <c r="D117" s="614"/>
      <c r="E117" s="123"/>
      <c r="F117" s="124"/>
      <c r="G117" s="9"/>
      <c r="H117" s="43"/>
      <c r="I117" s="39"/>
      <c r="J117" s="219"/>
      <c r="K117" s="228"/>
      <c r="L117" s="122"/>
    </row>
    <row r="118" spans="2:12">
      <c r="B118" s="220"/>
      <c r="C118" s="221"/>
      <c r="D118" s="614"/>
      <c r="E118" s="123"/>
      <c r="F118" s="124"/>
      <c r="G118" s="9"/>
      <c r="H118" s="43"/>
      <c r="I118" s="39"/>
      <c r="J118" s="219"/>
      <c r="K118" s="228"/>
      <c r="L118" s="122"/>
    </row>
    <row r="119" spans="2:12">
      <c r="B119" s="220"/>
      <c r="C119" s="58"/>
      <c r="D119" s="614"/>
      <c r="E119" s="123"/>
      <c r="F119" s="124"/>
      <c r="G119" s="9"/>
      <c r="H119" s="43"/>
      <c r="I119" s="39"/>
      <c r="J119" s="219"/>
      <c r="K119" s="228"/>
      <c r="L119" s="122"/>
    </row>
    <row r="120" spans="2:12">
      <c r="B120" s="220"/>
      <c r="C120" s="58"/>
      <c r="D120" s="614"/>
      <c r="E120" s="123"/>
      <c r="F120" s="124"/>
      <c r="G120" s="9"/>
      <c r="H120" s="43"/>
      <c r="I120" s="39"/>
      <c r="J120" s="219"/>
      <c r="K120" s="228"/>
      <c r="L120" s="122"/>
    </row>
    <row r="121" spans="2:12">
      <c r="B121" s="220"/>
      <c r="C121" s="221"/>
      <c r="D121" s="222"/>
      <c r="E121" s="123"/>
      <c r="F121" s="124"/>
      <c r="G121" s="9"/>
      <c r="H121" s="43"/>
      <c r="I121" s="39"/>
      <c r="J121" s="219"/>
      <c r="K121" s="228"/>
      <c r="L121" s="122"/>
    </row>
    <row r="122" spans="2:12">
      <c r="B122" s="220"/>
      <c r="C122" s="221"/>
      <c r="D122" s="222"/>
      <c r="E122" s="123"/>
      <c r="F122" s="124"/>
      <c r="G122" s="9"/>
      <c r="H122" s="43"/>
      <c r="I122" s="39"/>
      <c r="J122" s="219"/>
      <c r="K122" s="228"/>
      <c r="L122" s="122"/>
    </row>
    <row r="123" spans="2:12">
      <c r="B123" s="220"/>
      <c r="C123" s="221"/>
      <c r="D123" s="222"/>
      <c r="E123" s="123"/>
      <c r="F123" s="124"/>
      <c r="G123" s="9"/>
      <c r="H123" s="43"/>
      <c r="I123" s="39"/>
      <c r="J123" s="219"/>
      <c r="K123" s="228"/>
      <c r="L123" s="122"/>
    </row>
    <row r="124" spans="2:12">
      <c r="B124" s="220"/>
      <c r="C124" s="221"/>
      <c r="D124" s="222"/>
      <c r="E124" s="123"/>
      <c r="F124" s="124"/>
      <c r="G124" s="9"/>
      <c r="H124" s="43"/>
      <c r="I124" s="39"/>
      <c r="J124" s="219"/>
      <c r="K124" s="228"/>
      <c r="L124" s="122"/>
    </row>
    <row r="125" spans="2:12">
      <c r="B125" s="204"/>
      <c r="C125" s="58"/>
      <c r="D125" s="56"/>
      <c r="E125" s="123"/>
      <c r="F125" s="124"/>
      <c r="G125" s="9"/>
      <c r="H125" s="43"/>
      <c r="I125" s="39"/>
      <c r="J125" s="219"/>
      <c r="K125" s="228"/>
      <c r="L125" s="122"/>
    </row>
    <row r="126" spans="2:12">
      <c r="B126" s="204"/>
      <c r="C126" s="58"/>
      <c r="D126" s="56"/>
      <c r="E126" s="123"/>
      <c r="F126" s="124"/>
      <c r="G126" s="9"/>
      <c r="H126" s="43"/>
      <c r="I126" s="39"/>
      <c r="J126" s="219"/>
      <c r="K126" s="228"/>
      <c r="L126" s="122"/>
    </row>
    <row r="127" spans="2:12">
      <c r="B127" s="204"/>
      <c r="C127" s="58"/>
      <c r="D127" s="56"/>
      <c r="E127" s="123"/>
      <c r="F127" s="124"/>
      <c r="G127" s="9"/>
      <c r="H127" s="43"/>
      <c r="I127" s="39"/>
      <c r="J127" s="219"/>
      <c r="K127" s="228"/>
      <c r="L127" s="122"/>
    </row>
    <row r="128" spans="2:12">
      <c r="B128" s="204"/>
      <c r="C128" s="58"/>
      <c r="D128" s="56"/>
      <c r="E128" s="123"/>
      <c r="F128" s="124"/>
      <c r="G128" s="9"/>
      <c r="H128" s="43"/>
      <c r="I128" s="39"/>
      <c r="J128" s="219"/>
      <c r="K128" s="228"/>
      <c r="L128" s="122"/>
    </row>
    <row r="129" spans="2:13" ht="15.75">
      <c r="B129" s="202"/>
      <c r="C129" s="135">
        <v>2020110109</v>
      </c>
      <c r="D129" s="136" t="s">
        <v>20</v>
      </c>
      <c r="E129" s="137">
        <f>'PROYECCION 2020'!C18</f>
        <v>36000000</v>
      </c>
      <c r="F129" s="138">
        <f>SUM(F130:F149)</f>
        <v>0</v>
      </c>
      <c r="G129" s="138">
        <f>SUM(G130:G149)</f>
        <v>0</v>
      </c>
      <c r="H129" s="138">
        <f>SUM(H130:H149)</f>
        <v>4000000</v>
      </c>
      <c r="I129" s="139">
        <f>ROUND((E129+F129+G129-H129),1)</f>
        <v>32000000</v>
      </c>
      <c r="J129" s="393">
        <f>SUM(J130:J149)</f>
        <v>6646063</v>
      </c>
      <c r="K129" s="227">
        <f>I129-J129</f>
        <v>25353937</v>
      </c>
      <c r="L129" s="244">
        <f>K129</f>
        <v>25353937</v>
      </c>
    </row>
    <row r="130" spans="2:13">
      <c r="B130" s="220">
        <v>43893</v>
      </c>
      <c r="C130" s="221" t="s">
        <v>201</v>
      </c>
      <c r="D130" s="222" t="s">
        <v>192</v>
      </c>
      <c r="E130" s="123"/>
      <c r="F130" s="124"/>
      <c r="G130" s="9"/>
      <c r="H130" s="43"/>
      <c r="I130" s="39"/>
      <c r="J130" s="622">
        <v>1177920</v>
      </c>
      <c r="K130" s="228"/>
      <c r="L130" s="122"/>
      <c r="M130" s="219"/>
    </row>
    <row r="131" spans="2:13">
      <c r="B131" s="220">
        <v>43893</v>
      </c>
      <c r="C131" s="221" t="s">
        <v>202</v>
      </c>
      <c r="D131" s="222" t="s">
        <v>192</v>
      </c>
      <c r="E131" s="123"/>
      <c r="F131" s="124"/>
      <c r="G131" s="9"/>
      <c r="H131" s="43"/>
      <c r="I131" s="39"/>
      <c r="J131" s="622">
        <v>109430</v>
      </c>
      <c r="K131" s="228"/>
      <c r="L131" s="122"/>
      <c r="M131" s="219"/>
    </row>
    <row r="132" spans="2:13">
      <c r="B132" s="220">
        <v>43922</v>
      </c>
      <c r="C132" s="221"/>
      <c r="D132" s="222" t="s">
        <v>236</v>
      </c>
      <c r="E132" s="123"/>
      <c r="F132" s="124"/>
      <c r="G132" s="9"/>
      <c r="H132" s="43"/>
      <c r="I132" s="39"/>
      <c r="J132" s="622">
        <v>2138553</v>
      </c>
      <c r="K132" s="228"/>
      <c r="L132" s="122"/>
    </row>
    <row r="133" spans="2:13">
      <c r="B133" s="557"/>
      <c r="C133" s="221" t="s">
        <v>202</v>
      </c>
      <c r="D133" s="222" t="s">
        <v>236</v>
      </c>
      <c r="E133" s="123"/>
      <c r="F133" s="124"/>
      <c r="G133" s="9"/>
      <c r="H133" s="43"/>
      <c r="I133" s="39"/>
      <c r="J133" s="622">
        <v>194627</v>
      </c>
      <c r="K133" s="228"/>
      <c r="L133" s="122"/>
    </row>
    <row r="134" spans="2:13">
      <c r="B134" s="252">
        <v>43922</v>
      </c>
      <c r="C134" s="221"/>
      <c r="D134" s="254" t="s">
        <v>235</v>
      </c>
      <c r="E134" s="123"/>
      <c r="F134" s="124"/>
      <c r="G134" s="9"/>
      <c r="H134" s="43"/>
      <c r="I134" s="39"/>
      <c r="J134" s="622">
        <v>1338357</v>
      </c>
      <c r="K134" s="228"/>
      <c r="L134" s="122"/>
    </row>
    <row r="135" spans="2:13">
      <c r="B135" s="203"/>
      <c r="C135" s="177" t="s">
        <v>202</v>
      </c>
      <c r="D135" s="122" t="s">
        <v>235</v>
      </c>
      <c r="E135" s="123"/>
      <c r="F135" s="124"/>
      <c r="G135" s="9"/>
      <c r="H135" s="43"/>
      <c r="I135" s="39"/>
      <c r="J135" s="622">
        <v>120519</v>
      </c>
      <c r="K135" s="228"/>
      <c r="L135" s="122"/>
    </row>
    <row r="136" spans="2:13">
      <c r="B136" s="203">
        <v>44036</v>
      </c>
      <c r="C136" s="58"/>
      <c r="D136" s="56" t="s">
        <v>270</v>
      </c>
      <c r="E136" s="123"/>
      <c r="F136" s="124"/>
      <c r="G136" s="9"/>
      <c r="H136" s="43"/>
      <c r="I136" s="39"/>
      <c r="J136" s="622">
        <v>117621</v>
      </c>
      <c r="K136" s="228"/>
      <c r="L136" s="122"/>
    </row>
    <row r="137" spans="2:13">
      <c r="B137" s="220"/>
      <c r="C137" s="221" t="s">
        <v>202</v>
      </c>
      <c r="D137" s="56" t="s">
        <v>270</v>
      </c>
      <c r="E137" s="123"/>
      <c r="F137" s="124"/>
      <c r="G137" s="9"/>
      <c r="H137" s="43"/>
      <c r="I137" s="39"/>
      <c r="J137" s="622">
        <v>10705</v>
      </c>
      <c r="K137" s="228"/>
      <c r="L137" s="122"/>
    </row>
    <row r="138" spans="2:13">
      <c r="B138" s="252">
        <v>44036</v>
      </c>
      <c r="C138" s="221"/>
      <c r="D138" s="254" t="s">
        <v>272</v>
      </c>
      <c r="E138" s="123"/>
      <c r="F138" s="124"/>
      <c r="G138" s="9"/>
      <c r="H138" s="43"/>
      <c r="I138" s="39"/>
      <c r="J138" s="622">
        <v>73610</v>
      </c>
      <c r="K138" s="228"/>
      <c r="L138" s="122"/>
    </row>
    <row r="139" spans="2:13">
      <c r="B139" s="203"/>
      <c r="C139" s="58" t="s">
        <v>273</v>
      </c>
      <c r="D139" s="254" t="s">
        <v>272</v>
      </c>
      <c r="E139" s="123"/>
      <c r="F139" s="124"/>
      <c r="G139" s="9"/>
      <c r="H139" s="43"/>
      <c r="I139" s="39"/>
      <c r="J139" s="622">
        <v>6629</v>
      </c>
      <c r="K139" s="228"/>
      <c r="L139" s="122"/>
    </row>
    <row r="140" spans="2:13">
      <c r="B140" s="220">
        <v>44123</v>
      </c>
      <c r="C140" s="221"/>
      <c r="D140" s="614" t="s">
        <v>298</v>
      </c>
      <c r="E140" s="123"/>
      <c r="F140" s="124"/>
      <c r="G140" s="9"/>
      <c r="H140" s="43"/>
      <c r="I140" s="39"/>
      <c r="J140" s="622">
        <v>1241167</v>
      </c>
      <c r="K140" s="228"/>
      <c r="L140" s="122"/>
    </row>
    <row r="141" spans="2:13">
      <c r="B141" s="204"/>
      <c r="C141" s="58" t="s">
        <v>202</v>
      </c>
      <c r="D141" s="614" t="s">
        <v>298</v>
      </c>
      <c r="E141" s="123"/>
      <c r="F141" s="124"/>
      <c r="G141" s="9"/>
      <c r="H141" s="43"/>
      <c r="I141" s="39"/>
      <c r="J141" s="622">
        <v>116925</v>
      </c>
      <c r="K141" s="228"/>
      <c r="L141" s="122"/>
    </row>
    <row r="142" spans="2:13">
      <c r="B142" s="220">
        <v>44109</v>
      </c>
      <c r="C142" s="221"/>
      <c r="D142" s="222" t="s">
        <v>307</v>
      </c>
      <c r="E142" s="123"/>
      <c r="F142" s="124"/>
      <c r="G142" s="9"/>
      <c r="H142" s="43">
        <v>4000000</v>
      </c>
      <c r="I142" s="39"/>
      <c r="J142" s="219"/>
      <c r="K142" s="228"/>
      <c r="L142" s="122"/>
    </row>
    <row r="143" spans="2:13">
      <c r="B143" s="419"/>
      <c r="C143" s="58"/>
      <c r="D143" s="56"/>
      <c r="E143" s="123"/>
      <c r="F143" s="124"/>
      <c r="G143" s="9"/>
      <c r="H143" s="43"/>
      <c r="I143" s="39"/>
      <c r="J143" s="219"/>
      <c r="K143" s="228"/>
      <c r="L143" s="122"/>
    </row>
    <row r="144" spans="2:13">
      <c r="B144" s="419"/>
      <c r="C144" s="58"/>
      <c r="D144" s="56"/>
      <c r="E144" s="123"/>
      <c r="F144" s="124"/>
      <c r="G144" s="9"/>
      <c r="H144" s="43"/>
      <c r="I144" s="39"/>
      <c r="J144" s="219"/>
      <c r="K144" s="228"/>
      <c r="L144" s="122"/>
    </row>
    <row r="145" spans="2:12">
      <c r="B145" s="419"/>
      <c r="C145" s="58"/>
      <c r="D145" s="56"/>
      <c r="E145" s="123"/>
      <c r="F145" s="124"/>
      <c r="G145" s="9"/>
      <c r="H145" s="43"/>
      <c r="I145" s="39"/>
      <c r="J145" s="219"/>
      <c r="K145" s="228"/>
      <c r="L145" s="122"/>
    </row>
    <row r="146" spans="2:12">
      <c r="B146" s="419"/>
      <c r="C146" s="58"/>
      <c r="D146" s="56"/>
      <c r="E146" s="123"/>
      <c r="F146" s="124"/>
      <c r="G146" s="9"/>
      <c r="H146" s="43"/>
      <c r="I146" s="39"/>
      <c r="J146" s="219"/>
      <c r="K146" s="228"/>
      <c r="L146" s="122"/>
    </row>
    <row r="147" spans="2:12">
      <c r="B147" s="419"/>
      <c r="C147" s="58"/>
      <c r="D147" s="56"/>
      <c r="E147" s="123"/>
      <c r="F147" s="124"/>
      <c r="G147" s="9"/>
      <c r="H147" s="43"/>
      <c r="I147" s="39"/>
      <c r="J147" s="219"/>
      <c r="K147" s="228"/>
      <c r="L147" s="122"/>
    </row>
    <row r="148" spans="2:12">
      <c r="B148" s="419"/>
      <c r="C148" s="58"/>
      <c r="D148" s="56"/>
      <c r="E148" s="123"/>
      <c r="F148" s="124"/>
      <c r="G148" s="9"/>
      <c r="H148" s="43"/>
      <c r="I148" s="39"/>
      <c r="J148" s="219"/>
      <c r="K148" s="228"/>
      <c r="L148" s="122"/>
    </row>
    <row r="149" spans="2:12">
      <c r="B149" s="204"/>
      <c r="C149" s="58"/>
      <c r="D149" s="56"/>
      <c r="E149" s="123"/>
      <c r="F149" s="124"/>
      <c r="G149" s="9"/>
      <c r="H149" s="43"/>
      <c r="I149" s="39"/>
      <c r="J149" s="219"/>
      <c r="K149" s="228"/>
      <c r="L149" s="122"/>
    </row>
    <row r="150" spans="2:12" ht="15.75">
      <c r="B150" s="202"/>
      <c r="C150" s="135">
        <v>2020110108</v>
      </c>
      <c r="D150" s="136" t="s">
        <v>21</v>
      </c>
      <c r="E150" s="137">
        <f>'PROYECCION 2020'!C19</f>
        <v>55000000</v>
      </c>
      <c r="F150" s="138">
        <f>SUM(F151:F157)</f>
        <v>0</v>
      </c>
      <c r="G150" s="138">
        <f>SUM(G151:G157)</f>
        <v>0</v>
      </c>
      <c r="H150" s="138">
        <f>SUM(H151:H157)</f>
        <v>8000000</v>
      </c>
      <c r="I150" s="139">
        <f>ROUND((E150+F150+G150-H150),1)</f>
        <v>47000000</v>
      </c>
      <c r="J150" s="393">
        <f>SUM(J151:J157)</f>
        <v>3235735</v>
      </c>
      <c r="K150" s="227">
        <f>I150-J150</f>
        <v>43764265</v>
      </c>
      <c r="L150" s="247">
        <f>K150</f>
        <v>43764265</v>
      </c>
    </row>
    <row r="151" spans="2:12">
      <c r="B151" s="220">
        <v>43922</v>
      </c>
      <c r="C151" s="221"/>
      <c r="D151" s="222" t="s">
        <v>236</v>
      </c>
      <c r="E151" s="288"/>
      <c r="F151" s="124"/>
      <c r="G151" s="9"/>
      <c r="H151" s="10"/>
      <c r="I151" s="39"/>
      <c r="J151" s="622">
        <v>1004381</v>
      </c>
      <c r="K151" s="228"/>
      <c r="L151" s="122"/>
    </row>
    <row r="152" spans="2:12">
      <c r="B152" s="252">
        <v>43922</v>
      </c>
      <c r="C152" s="221"/>
      <c r="D152" s="254" t="s">
        <v>235</v>
      </c>
      <c r="E152" s="288"/>
      <c r="F152" s="124"/>
      <c r="G152" s="9"/>
      <c r="H152" s="10"/>
      <c r="I152" s="39"/>
      <c r="J152" s="622">
        <v>327660</v>
      </c>
      <c r="K152" s="228"/>
      <c r="L152" s="122"/>
    </row>
    <row r="153" spans="2:12">
      <c r="B153" s="203">
        <v>44036</v>
      </c>
      <c r="C153" s="58"/>
      <c r="D153" s="56" t="s">
        <v>270</v>
      </c>
      <c r="E153" s="288"/>
      <c r="F153" s="124"/>
      <c r="G153" s="9"/>
      <c r="H153" s="10"/>
      <c r="I153" s="39"/>
      <c r="J153" s="622">
        <v>55241</v>
      </c>
      <c r="K153" s="228"/>
      <c r="L153" s="122"/>
    </row>
    <row r="154" spans="2:12">
      <c r="B154" s="252">
        <v>44036</v>
      </c>
      <c r="C154" s="221"/>
      <c r="D154" s="254" t="s">
        <v>272</v>
      </c>
      <c r="E154" s="123"/>
      <c r="F154" s="124"/>
      <c r="G154" s="9"/>
      <c r="H154" s="10"/>
      <c r="I154" s="39"/>
      <c r="J154" s="622">
        <v>18021</v>
      </c>
      <c r="K154" s="228"/>
      <c r="L154" s="122"/>
    </row>
    <row r="155" spans="2:12">
      <c r="B155" s="220">
        <v>44123</v>
      </c>
      <c r="C155" s="221"/>
      <c r="D155" s="614" t="s">
        <v>298</v>
      </c>
      <c r="E155" s="123"/>
      <c r="F155" s="124"/>
      <c r="G155" s="9"/>
      <c r="H155" s="10"/>
      <c r="I155" s="39"/>
      <c r="J155" s="622">
        <v>1830432</v>
      </c>
      <c r="K155" s="228"/>
      <c r="L155" s="122"/>
    </row>
    <row r="156" spans="2:12">
      <c r="B156" s="220">
        <v>44109</v>
      </c>
      <c r="C156" s="221"/>
      <c r="D156" s="222" t="s">
        <v>307</v>
      </c>
      <c r="E156" s="123"/>
      <c r="F156" s="124"/>
      <c r="G156" s="9"/>
      <c r="H156" s="10">
        <v>8000000</v>
      </c>
      <c r="I156" s="39"/>
      <c r="J156" s="219"/>
      <c r="K156" s="228"/>
      <c r="L156" s="122"/>
    </row>
    <row r="157" spans="2:12">
      <c r="B157" s="204"/>
      <c r="C157" s="58"/>
      <c r="D157" s="56"/>
      <c r="E157" s="123"/>
      <c r="F157" s="124"/>
      <c r="G157" s="9"/>
      <c r="H157" s="10"/>
      <c r="I157" s="39"/>
      <c r="J157" s="219"/>
      <c r="K157" s="228"/>
      <c r="L157" s="122"/>
    </row>
    <row r="158" spans="2:12" ht="18">
      <c r="B158" s="207"/>
      <c r="C158" s="143" t="s">
        <v>22</v>
      </c>
      <c r="D158" s="142" t="s">
        <v>130</v>
      </c>
      <c r="E158" s="516">
        <f t="shared" ref="E158:J158" si="1">E159+E175+E184</f>
        <v>20000000</v>
      </c>
      <c r="F158" s="165">
        <f t="shared" si="1"/>
        <v>0</v>
      </c>
      <c r="G158" s="165">
        <f t="shared" si="1"/>
        <v>95100000</v>
      </c>
      <c r="H158" s="165">
        <f t="shared" si="1"/>
        <v>0</v>
      </c>
      <c r="I158" s="165">
        <f t="shared" si="1"/>
        <v>115100000</v>
      </c>
      <c r="J158" s="144">
        <f t="shared" si="1"/>
        <v>115100000</v>
      </c>
      <c r="K158" s="231">
        <f>I158-J158</f>
        <v>0</v>
      </c>
      <c r="L158" s="122"/>
    </row>
    <row r="159" spans="2:12" ht="15.75">
      <c r="B159" s="202"/>
      <c r="C159" s="135">
        <v>2020110201</v>
      </c>
      <c r="D159" s="136" t="s">
        <v>25</v>
      </c>
      <c r="E159" s="137">
        <f>'PROYECCION 2020'!C21</f>
        <v>20000000</v>
      </c>
      <c r="F159" s="138">
        <f>SUM(F160:F174)</f>
        <v>0</v>
      </c>
      <c r="G159" s="145">
        <f>SUM(G160:G174)</f>
        <v>67000000</v>
      </c>
      <c r="H159" s="145">
        <f>SUM(H160:H174)</f>
        <v>0</v>
      </c>
      <c r="I159" s="139">
        <f>E159+F159+G159-H159</f>
        <v>87000000</v>
      </c>
      <c r="J159" s="389">
        <f>SUM(J160:J174)</f>
        <v>87000000</v>
      </c>
      <c r="K159" s="227">
        <f>I159-J159</f>
        <v>0</v>
      </c>
      <c r="L159" s="244">
        <f>K159</f>
        <v>0</v>
      </c>
    </row>
    <row r="160" spans="2:12">
      <c r="B160" s="208">
        <v>43844</v>
      </c>
      <c r="C160" s="169"/>
      <c r="D160" s="170" t="s">
        <v>183</v>
      </c>
      <c r="E160" s="171"/>
      <c r="F160" s="172"/>
      <c r="G160" s="173"/>
      <c r="H160" s="10"/>
      <c r="I160" s="39"/>
      <c r="J160" s="636">
        <v>5000000</v>
      </c>
      <c r="K160" s="228"/>
      <c r="L160" s="122"/>
    </row>
    <row r="161" spans="2:12">
      <c r="B161" s="208">
        <v>43850</v>
      </c>
      <c r="C161" s="169"/>
      <c r="D161" s="170" t="s">
        <v>184</v>
      </c>
      <c r="E161" s="123"/>
      <c r="F161" s="124"/>
      <c r="G161" s="11">
        <v>36000000</v>
      </c>
      <c r="H161" s="10"/>
      <c r="I161" s="39"/>
      <c r="J161" s="394"/>
      <c r="K161" s="228"/>
      <c r="L161" s="122"/>
    </row>
    <row r="162" spans="2:12">
      <c r="B162" s="208">
        <v>43865</v>
      </c>
      <c r="C162" s="169"/>
      <c r="D162" s="170" t="s">
        <v>188</v>
      </c>
      <c r="E162" s="123"/>
      <c r="F162" s="124"/>
      <c r="G162" s="11"/>
      <c r="H162" s="10"/>
      <c r="I162" s="39"/>
      <c r="J162" s="636">
        <v>8000000</v>
      </c>
      <c r="K162" s="228"/>
      <c r="L162" s="122"/>
    </row>
    <row r="163" spans="2:12">
      <c r="B163" s="208">
        <v>43865</v>
      </c>
      <c r="C163" s="169"/>
      <c r="D163" s="170" t="s">
        <v>194</v>
      </c>
      <c r="E163" s="123"/>
      <c r="F163" s="124"/>
      <c r="G163" s="11"/>
      <c r="H163" s="10"/>
      <c r="I163" s="39"/>
      <c r="J163" s="636">
        <v>16000000</v>
      </c>
      <c r="K163" s="228"/>
      <c r="L163" s="122"/>
    </row>
    <row r="164" spans="2:12">
      <c r="B164" s="208">
        <v>43907</v>
      </c>
      <c r="C164" s="58"/>
      <c r="D164" s="174" t="s">
        <v>212</v>
      </c>
      <c r="E164" s="171"/>
      <c r="F164" s="172"/>
      <c r="G164" s="173"/>
      <c r="H164" s="175"/>
      <c r="I164" s="176"/>
      <c r="J164" s="636">
        <v>14000000</v>
      </c>
      <c r="K164" s="228"/>
      <c r="L164" s="122"/>
    </row>
    <row r="165" spans="2:12">
      <c r="B165" s="293">
        <v>43929</v>
      </c>
      <c r="C165" s="294"/>
      <c r="D165" s="405" t="s">
        <v>238</v>
      </c>
      <c r="E165" s="123"/>
      <c r="F165" s="124"/>
      <c r="G165" s="11"/>
      <c r="H165" s="10"/>
      <c r="I165" s="39"/>
      <c r="J165" s="636">
        <v>5000000</v>
      </c>
      <c r="K165" s="228"/>
      <c r="L165" s="122"/>
    </row>
    <row r="166" spans="2:12">
      <c r="B166" s="204">
        <v>43992</v>
      </c>
      <c r="C166" s="58"/>
      <c r="D166" s="57" t="s">
        <v>246</v>
      </c>
      <c r="E166" s="123"/>
      <c r="F166" s="124"/>
      <c r="G166" s="11"/>
      <c r="H166" s="10"/>
      <c r="I166" s="39"/>
      <c r="J166" s="622">
        <v>8000000</v>
      </c>
      <c r="K166" s="228"/>
      <c r="L166" s="21"/>
    </row>
    <row r="167" spans="2:12">
      <c r="B167" s="220">
        <v>44013</v>
      </c>
      <c r="C167" s="221"/>
      <c r="D167" s="222" t="s">
        <v>263</v>
      </c>
      <c r="E167" s="288"/>
      <c r="F167" s="124"/>
      <c r="G167" s="11">
        <v>31000000</v>
      </c>
      <c r="H167" s="10"/>
      <c r="I167" s="39"/>
      <c r="J167" s="622"/>
      <c r="K167" s="228"/>
      <c r="L167" s="122"/>
    </row>
    <row r="168" spans="2:12">
      <c r="B168" s="220">
        <v>44014</v>
      </c>
      <c r="C168" s="221"/>
      <c r="D168" s="222" t="s">
        <v>265</v>
      </c>
      <c r="E168" s="288"/>
      <c r="F168" s="124"/>
      <c r="G168" s="11"/>
      <c r="H168" s="10"/>
      <c r="I168" s="39"/>
      <c r="J168" s="622">
        <v>10000000</v>
      </c>
      <c r="K168" s="228"/>
      <c r="L168" s="122"/>
    </row>
    <row r="169" spans="2:12">
      <c r="B169" s="204">
        <v>44062</v>
      </c>
      <c r="C169" s="58"/>
      <c r="D169" s="57" t="s">
        <v>284</v>
      </c>
      <c r="E169" s="123"/>
      <c r="F169" s="124"/>
      <c r="G169" s="11"/>
      <c r="H169" s="10"/>
      <c r="I169" s="39"/>
      <c r="J169" s="622">
        <v>16000000</v>
      </c>
      <c r="K169" s="228"/>
      <c r="L169" s="122"/>
    </row>
    <row r="170" spans="2:12">
      <c r="B170" s="220" t="s">
        <v>306</v>
      </c>
      <c r="C170" s="221"/>
      <c r="D170" s="287" t="s">
        <v>305</v>
      </c>
      <c r="E170" s="123"/>
      <c r="F170" s="124"/>
      <c r="G170" s="11"/>
      <c r="H170" s="10"/>
      <c r="I170" s="39"/>
      <c r="J170" s="219">
        <v>5000000</v>
      </c>
      <c r="K170" s="228"/>
      <c r="L170" s="122"/>
    </row>
    <row r="171" spans="2:12">
      <c r="B171" s="204"/>
      <c r="C171" s="58"/>
      <c r="D171" s="57"/>
      <c r="E171" s="123"/>
      <c r="F171" s="124"/>
      <c r="G171" s="11"/>
      <c r="H171" s="10"/>
      <c r="I171" s="39"/>
      <c r="J171" s="219"/>
      <c r="K171" s="228"/>
      <c r="L171" s="122"/>
    </row>
    <row r="172" spans="2:12">
      <c r="B172" s="204"/>
      <c r="C172" s="58"/>
      <c r="D172" s="57"/>
      <c r="E172" s="123"/>
      <c r="F172" s="124"/>
      <c r="G172" s="11"/>
      <c r="H172" s="10"/>
      <c r="I172" s="39"/>
      <c r="J172" s="219"/>
      <c r="K172" s="228"/>
      <c r="L172" s="122"/>
    </row>
    <row r="173" spans="2:12">
      <c r="B173" s="204"/>
      <c r="C173" s="58"/>
      <c r="D173" s="57"/>
      <c r="E173" s="123"/>
      <c r="F173" s="124"/>
      <c r="G173" s="11"/>
      <c r="H173" s="10"/>
      <c r="I173" s="39"/>
      <c r="J173" s="219"/>
      <c r="K173" s="228"/>
      <c r="L173" s="122"/>
    </row>
    <row r="174" spans="2:12">
      <c r="B174" s="204"/>
      <c r="C174" s="58"/>
      <c r="D174" s="57"/>
      <c r="E174" s="123"/>
      <c r="F174" s="124"/>
      <c r="G174" s="11"/>
      <c r="H174" s="10"/>
      <c r="I174" s="39"/>
      <c r="J174" s="219"/>
      <c r="K174" s="228"/>
      <c r="L174" s="122"/>
    </row>
    <row r="175" spans="2:12" s="174" customFormat="1" ht="15.75">
      <c r="B175" s="205"/>
      <c r="C175" s="125" t="s">
        <v>26</v>
      </c>
      <c r="D175" s="120" t="s">
        <v>27</v>
      </c>
      <c r="E175" s="126">
        <v>0</v>
      </c>
      <c r="F175" s="127">
        <f>SUM(F176:F179)</f>
        <v>0</v>
      </c>
      <c r="G175" s="127">
        <f>SUM(G176:G183)</f>
        <v>28100000</v>
      </c>
      <c r="H175" s="127">
        <f>SUM(H176:H179)</f>
        <v>0</v>
      </c>
      <c r="I175" s="121">
        <f>E175+F175+G175-H175</f>
        <v>28100000</v>
      </c>
      <c r="J175" s="390">
        <f>SUM(J176:J183)</f>
        <v>28100000</v>
      </c>
      <c r="K175" s="227">
        <f>I175-J175</f>
        <v>0</v>
      </c>
      <c r="L175" s="518"/>
    </row>
    <row r="176" spans="2:12">
      <c r="B176" s="252">
        <v>43844</v>
      </c>
      <c r="C176" s="221"/>
      <c r="D176" s="254" t="s">
        <v>179</v>
      </c>
      <c r="E176" s="288"/>
      <c r="F176" s="514"/>
      <c r="G176" s="289">
        <v>8000000</v>
      </c>
      <c r="H176" s="289"/>
      <c r="I176" s="289"/>
      <c r="J176" s="392"/>
      <c r="K176" s="515"/>
      <c r="L176" s="122"/>
    </row>
    <row r="177" spans="2:12">
      <c r="B177" s="220">
        <v>43834</v>
      </c>
      <c r="C177" s="221"/>
      <c r="D177" s="222" t="s">
        <v>195</v>
      </c>
      <c r="E177" s="288"/>
      <c r="F177" s="514"/>
      <c r="G177" s="289"/>
      <c r="H177" s="289"/>
      <c r="I177" s="289"/>
      <c r="J177" s="636">
        <v>8000000</v>
      </c>
      <c r="K177" s="515"/>
      <c r="L177" s="122"/>
    </row>
    <row r="178" spans="2:12">
      <c r="B178" s="220">
        <v>43959</v>
      </c>
      <c r="C178" s="221"/>
      <c r="D178" s="222" t="s">
        <v>241</v>
      </c>
      <c r="E178" s="288"/>
      <c r="F178" s="514"/>
      <c r="G178" s="289">
        <v>4000000</v>
      </c>
      <c r="H178" s="289"/>
      <c r="I178" s="289"/>
      <c r="J178" s="636"/>
      <c r="K178" s="515"/>
      <c r="L178" s="122"/>
    </row>
    <row r="179" spans="2:12">
      <c r="B179" s="220">
        <v>43963</v>
      </c>
      <c r="C179" s="221"/>
      <c r="D179" s="222" t="s">
        <v>242</v>
      </c>
      <c r="E179" s="288"/>
      <c r="F179" s="514"/>
      <c r="G179" s="289"/>
      <c r="H179" s="289"/>
      <c r="I179" s="289"/>
      <c r="J179" s="636">
        <v>4000000</v>
      </c>
      <c r="K179" s="515"/>
      <c r="L179" s="122"/>
    </row>
    <row r="180" spans="2:12">
      <c r="B180" s="220">
        <v>44013</v>
      </c>
      <c r="C180" s="221"/>
      <c r="D180" s="222" t="s">
        <v>263</v>
      </c>
      <c r="E180" s="288"/>
      <c r="F180" s="514"/>
      <c r="G180" s="289">
        <v>12500000</v>
      </c>
      <c r="H180" s="289"/>
      <c r="I180" s="289"/>
      <c r="J180" s="636"/>
      <c r="K180" s="515"/>
      <c r="L180" s="122"/>
    </row>
    <row r="181" spans="2:12">
      <c r="B181" s="220">
        <v>44040</v>
      </c>
      <c r="C181" s="221"/>
      <c r="D181" s="222" t="s">
        <v>264</v>
      </c>
      <c r="E181" s="288"/>
      <c r="F181" s="514"/>
      <c r="G181" s="289"/>
      <c r="H181" s="289"/>
      <c r="I181" s="289"/>
      <c r="J181" s="636">
        <v>12500000</v>
      </c>
      <c r="K181" s="515"/>
      <c r="L181" s="122"/>
    </row>
    <row r="182" spans="2:12">
      <c r="B182" s="220">
        <v>44110</v>
      </c>
      <c r="C182" s="221"/>
      <c r="D182" s="222" t="s">
        <v>296</v>
      </c>
      <c r="E182" s="288"/>
      <c r="F182" s="514"/>
      <c r="G182" s="289">
        <v>3600000</v>
      </c>
      <c r="H182" s="289"/>
      <c r="I182" s="289"/>
      <c r="J182" s="636"/>
      <c r="K182" s="515"/>
      <c r="L182" s="122"/>
    </row>
    <row r="183" spans="2:12">
      <c r="B183" s="220">
        <v>44127</v>
      </c>
      <c r="C183" s="221"/>
      <c r="D183" s="222" t="s">
        <v>303</v>
      </c>
      <c r="E183" s="288"/>
      <c r="F183" s="514"/>
      <c r="G183" s="289"/>
      <c r="H183" s="289"/>
      <c r="I183" s="289"/>
      <c r="J183" s="636">
        <v>3600000</v>
      </c>
      <c r="K183" s="515"/>
      <c r="L183" s="122"/>
    </row>
    <row r="184" spans="2:12">
      <c r="B184" s="209"/>
      <c r="C184" s="131" t="s">
        <v>28</v>
      </c>
      <c r="D184" s="125" t="s">
        <v>29</v>
      </c>
      <c r="E184" s="132">
        <v>0</v>
      </c>
      <c r="F184" s="133"/>
      <c r="G184" s="117"/>
      <c r="H184" s="117"/>
      <c r="I184" s="117">
        <f>E184+F184+G184-H184</f>
        <v>0</v>
      </c>
      <c r="J184" s="395"/>
      <c r="K184" s="232"/>
      <c r="L184" s="122"/>
    </row>
    <row r="185" spans="2:12" ht="24" customHeight="1">
      <c r="B185" s="210"/>
      <c r="C185" s="154"/>
      <c r="D185" s="155" t="s">
        <v>131</v>
      </c>
      <c r="E185" s="156">
        <f t="shared" ref="E185:K185" si="2">E186+E225</f>
        <v>149019000</v>
      </c>
      <c r="F185" s="156">
        <f t="shared" si="2"/>
        <v>0</v>
      </c>
      <c r="G185" s="156">
        <f t="shared" si="2"/>
        <v>193900000</v>
      </c>
      <c r="H185" s="156">
        <f t="shared" si="2"/>
        <v>26400000</v>
      </c>
      <c r="I185" s="156">
        <f t="shared" si="2"/>
        <v>316519000</v>
      </c>
      <c r="J185" s="396">
        <f t="shared" si="2"/>
        <v>94734153</v>
      </c>
      <c r="K185" s="156">
        <f t="shared" si="2"/>
        <v>221784847</v>
      </c>
      <c r="L185" s="122"/>
    </row>
    <row r="186" spans="2:12" ht="18">
      <c r="B186" s="211"/>
      <c r="C186" s="143">
        <v>20201201</v>
      </c>
      <c r="D186" s="142" t="s">
        <v>132</v>
      </c>
      <c r="E186" s="144">
        <f t="shared" ref="E186:J186" si="3">E187+E198+E215+E224</f>
        <v>21300000</v>
      </c>
      <c r="F186" s="165">
        <f t="shared" si="3"/>
        <v>0</v>
      </c>
      <c r="G186" s="165">
        <f t="shared" si="3"/>
        <v>173900000</v>
      </c>
      <c r="H186" s="165">
        <f t="shared" si="3"/>
        <v>5000000</v>
      </c>
      <c r="I186" s="144">
        <f t="shared" si="3"/>
        <v>190200000</v>
      </c>
      <c r="J186" s="144">
        <f t="shared" si="3"/>
        <v>26710300</v>
      </c>
      <c r="K186" s="233">
        <f>I186-J186</f>
        <v>163489700</v>
      </c>
      <c r="L186" s="122"/>
    </row>
    <row r="187" spans="2:12" ht="15.75">
      <c r="B187" s="202"/>
      <c r="C187" s="135" t="s">
        <v>32</v>
      </c>
      <c r="D187" s="135" t="s">
        <v>33</v>
      </c>
      <c r="E187" s="137">
        <f>'PROYECCION 2020'!C25</f>
        <v>6000000</v>
      </c>
      <c r="F187" s="138">
        <f>SUM(F188:F197)</f>
        <v>0</v>
      </c>
      <c r="G187" s="138">
        <f>SUM(G188:G197)</f>
        <v>157600000</v>
      </c>
      <c r="H187" s="138">
        <f>SUM(H188:H197)</f>
        <v>0</v>
      </c>
      <c r="I187" s="139">
        <f>E187+F187+G187-H187</f>
        <v>163600000</v>
      </c>
      <c r="J187" s="389">
        <f>SUM(J188:J197)</f>
        <v>3600000</v>
      </c>
      <c r="K187" s="227">
        <f>I187-J187</f>
        <v>160000000</v>
      </c>
      <c r="L187" s="122"/>
    </row>
    <row r="188" spans="2:12">
      <c r="B188" s="220">
        <v>43906</v>
      </c>
      <c r="C188" s="221"/>
      <c r="D188" s="222" t="s">
        <v>211</v>
      </c>
      <c r="E188" s="123"/>
      <c r="F188" s="124"/>
      <c r="G188" s="9"/>
      <c r="H188" s="10"/>
      <c r="I188" s="39"/>
      <c r="J188" s="622">
        <v>3600000</v>
      </c>
      <c r="K188" s="228"/>
      <c r="L188" s="122"/>
    </row>
    <row r="189" spans="2:12">
      <c r="B189" s="220">
        <v>44110</v>
      </c>
      <c r="C189" s="221"/>
      <c r="D189" s="222" t="s">
        <v>296</v>
      </c>
      <c r="E189" s="123"/>
      <c r="F189" s="124"/>
      <c r="G189" s="9">
        <v>157600000</v>
      </c>
      <c r="H189" s="10"/>
      <c r="I189" s="39"/>
      <c r="J189" s="219"/>
      <c r="K189" s="228"/>
      <c r="L189" s="122"/>
    </row>
    <row r="190" spans="2:12">
      <c r="B190" s="220"/>
      <c r="C190" s="221"/>
      <c r="D190" s="221"/>
      <c r="E190" s="123"/>
      <c r="F190" s="124"/>
      <c r="G190" s="9"/>
      <c r="H190" s="10"/>
      <c r="I190" s="39"/>
      <c r="J190" s="219"/>
      <c r="K190" s="228"/>
      <c r="L190" s="122"/>
    </row>
    <row r="191" spans="2:12">
      <c r="B191" s="220"/>
      <c r="C191" s="221"/>
      <c r="D191" s="221"/>
      <c r="E191" s="123"/>
      <c r="F191" s="124"/>
      <c r="G191" s="9"/>
      <c r="H191" s="10"/>
      <c r="I191" s="39"/>
      <c r="J191" s="219"/>
      <c r="K191" s="228"/>
      <c r="L191" s="122"/>
    </row>
    <row r="192" spans="2:12">
      <c r="B192" s="220"/>
      <c r="C192" s="221"/>
      <c r="D192" s="221"/>
      <c r="E192" s="123"/>
      <c r="F192" s="124"/>
      <c r="G192" s="9"/>
      <c r="H192" s="10"/>
      <c r="I192" s="39"/>
      <c r="J192" s="219"/>
      <c r="K192" s="228"/>
      <c r="L192" s="122"/>
    </row>
    <row r="193" spans="2:14">
      <c r="B193" s="220"/>
      <c r="C193" s="221"/>
      <c r="D193" s="221"/>
      <c r="E193" s="123"/>
      <c r="F193" s="124"/>
      <c r="G193" s="9"/>
      <c r="H193" s="10"/>
      <c r="I193" s="39"/>
      <c r="J193" s="219"/>
      <c r="K193" s="228"/>
      <c r="L193" s="122"/>
    </row>
    <row r="194" spans="2:14">
      <c r="B194" s="204"/>
      <c r="C194" s="58"/>
      <c r="D194" s="58"/>
      <c r="E194" s="123"/>
      <c r="F194" s="124"/>
      <c r="G194" s="9"/>
      <c r="H194" s="10"/>
      <c r="I194" s="39"/>
      <c r="J194" s="219"/>
      <c r="K194" s="228"/>
      <c r="L194" s="122"/>
    </row>
    <row r="195" spans="2:14">
      <c r="B195" s="204"/>
      <c r="C195" s="58"/>
      <c r="D195" s="58"/>
      <c r="E195" s="123"/>
      <c r="F195" s="124"/>
      <c r="G195" s="9"/>
      <c r="H195" s="10"/>
      <c r="I195" s="39"/>
      <c r="J195" s="219"/>
      <c r="K195" s="228"/>
      <c r="L195" s="122"/>
    </row>
    <row r="196" spans="2:14">
      <c r="B196" s="204"/>
      <c r="C196" s="58"/>
      <c r="D196" s="58"/>
      <c r="E196" s="123"/>
      <c r="F196" s="124"/>
      <c r="G196" s="9"/>
      <c r="H196" s="10"/>
      <c r="I196" s="39"/>
      <c r="J196" s="219"/>
      <c r="K196" s="228"/>
      <c r="L196" s="122"/>
    </row>
    <row r="197" spans="2:14">
      <c r="B197" s="204"/>
      <c r="C197" s="58"/>
      <c r="D197" s="58"/>
      <c r="E197" s="123"/>
      <c r="F197" s="124"/>
      <c r="G197" s="9"/>
      <c r="H197" s="10"/>
      <c r="I197" s="39"/>
      <c r="J197" s="219"/>
      <c r="K197" s="228"/>
      <c r="L197" s="122"/>
    </row>
    <row r="198" spans="2:14" ht="15.75">
      <c r="B198" s="202"/>
      <c r="C198" s="135">
        <v>2020120102</v>
      </c>
      <c r="D198" s="135" t="s">
        <v>35</v>
      </c>
      <c r="E198" s="137">
        <f>'PROYECCION 2020'!C26</f>
        <v>14000000</v>
      </c>
      <c r="F198" s="160">
        <f>SUM(F199:F214)</f>
        <v>0</v>
      </c>
      <c r="G198" s="160">
        <f>SUM(G199:G214)</f>
        <v>16000000</v>
      </c>
      <c r="H198" s="160">
        <f>SUM(H199:H214)</f>
        <v>5000000</v>
      </c>
      <c r="I198" s="139">
        <f>E198+F198+G198-H198</f>
        <v>25000000</v>
      </c>
      <c r="J198" s="389">
        <f>SUM(J199:J214)</f>
        <v>21710300</v>
      </c>
      <c r="K198" s="227">
        <f>I198-J198</f>
        <v>3289700</v>
      </c>
      <c r="L198" s="244">
        <f>K198</f>
        <v>3289700</v>
      </c>
    </row>
    <row r="199" spans="2:14">
      <c r="B199" s="204">
        <v>43850</v>
      </c>
      <c r="C199" s="58"/>
      <c r="D199" s="59" t="s">
        <v>186</v>
      </c>
      <c r="E199" s="123"/>
      <c r="F199" s="45"/>
      <c r="G199" s="9"/>
      <c r="H199" s="10"/>
      <c r="I199" s="39"/>
      <c r="J199" s="622">
        <f>420000+79800</f>
        <v>499800</v>
      </c>
      <c r="K199" s="228"/>
      <c r="L199" s="122"/>
    </row>
    <row r="200" spans="2:14">
      <c r="B200" s="204">
        <v>43853</v>
      </c>
      <c r="C200" s="58"/>
      <c r="D200" s="122" t="s">
        <v>187</v>
      </c>
      <c r="E200" s="123"/>
      <c r="F200" s="45"/>
      <c r="G200" s="9"/>
      <c r="H200" s="10"/>
      <c r="I200" s="39"/>
      <c r="J200" s="622">
        <v>1300000</v>
      </c>
      <c r="K200" s="228"/>
      <c r="L200" s="122"/>
    </row>
    <row r="201" spans="2:14">
      <c r="B201" s="204">
        <v>43895</v>
      </c>
      <c r="C201" s="58"/>
      <c r="D201" s="59" t="s">
        <v>210</v>
      </c>
      <c r="E201" s="123"/>
      <c r="F201" s="45"/>
      <c r="G201" s="9"/>
      <c r="H201" s="10"/>
      <c r="I201" s="39"/>
      <c r="J201" s="622">
        <v>1008700</v>
      </c>
      <c r="K201" s="228"/>
      <c r="L201" s="122"/>
    </row>
    <row r="202" spans="2:14">
      <c r="B202" s="204">
        <v>43941</v>
      </c>
      <c r="C202" s="58"/>
      <c r="D202" s="59" t="s">
        <v>210</v>
      </c>
      <c r="E202" s="123"/>
      <c r="F202" s="45"/>
      <c r="G202" s="9"/>
      <c r="H202" s="10"/>
      <c r="I202" s="39"/>
      <c r="J202" s="622">
        <v>1136700</v>
      </c>
      <c r="K202" s="228"/>
      <c r="L202" s="122"/>
    </row>
    <row r="203" spans="2:14">
      <c r="B203" s="204">
        <v>43990</v>
      </c>
      <c r="C203" s="58"/>
      <c r="D203" s="59" t="s">
        <v>247</v>
      </c>
      <c r="E203" s="123"/>
      <c r="F203" s="45"/>
      <c r="G203" s="9"/>
      <c r="H203" s="10"/>
      <c r="I203" s="39"/>
      <c r="J203" s="622">
        <v>3921700</v>
      </c>
      <c r="K203" s="417"/>
      <c r="L203" s="418"/>
      <c r="M203" s="633">
        <f>+J203-3799700</f>
        <v>122000</v>
      </c>
      <c r="N203" s="13" t="s">
        <v>288</v>
      </c>
    </row>
    <row r="204" spans="2:14">
      <c r="B204" s="204">
        <v>43992</v>
      </c>
      <c r="C204" s="58"/>
      <c r="D204" s="59" t="s">
        <v>210</v>
      </c>
      <c r="E204" s="123"/>
      <c r="F204" s="45"/>
      <c r="G204" s="9"/>
      <c r="H204" s="10"/>
      <c r="I204" s="39"/>
      <c r="J204" s="622">
        <v>1244500</v>
      </c>
      <c r="K204" s="228"/>
      <c r="L204" s="122"/>
    </row>
    <row r="205" spans="2:14">
      <c r="B205" s="204">
        <v>44036</v>
      </c>
      <c r="C205" s="58"/>
      <c r="D205" s="59" t="s">
        <v>210</v>
      </c>
      <c r="E205" s="123"/>
      <c r="F205" s="45"/>
      <c r="G205" s="9"/>
      <c r="H205" s="10"/>
      <c r="I205" s="39"/>
      <c r="J205" s="622">
        <v>884200</v>
      </c>
      <c r="K205" s="228"/>
      <c r="L205" s="122"/>
    </row>
    <row r="206" spans="2:14">
      <c r="B206" s="204">
        <v>44061</v>
      </c>
      <c r="C206" s="58"/>
      <c r="D206" s="59" t="s">
        <v>280</v>
      </c>
      <c r="E206" s="123"/>
      <c r="F206" s="45"/>
      <c r="G206" s="9">
        <v>16000000</v>
      </c>
      <c r="H206" s="10"/>
      <c r="I206" s="39"/>
      <c r="K206" s="228"/>
      <c r="L206" s="122"/>
    </row>
    <row r="207" spans="2:14">
      <c r="B207" s="220">
        <v>44068</v>
      </c>
      <c r="C207" s="221"/>
      <c r="D207" s="221" t="s">
        <v>282</v>
      </c>
      <c r="E207" s="288"/>
      <c r="F207" s="45"/>
      <c r="G207" s="9"/>
      <c r="H207" s="10"/>
      <c r="I207" s="39"/>
      <c r="J207" s="392">
        <v>10446200</v>
      </c>
      <c r="K207" s="228"/>
      <c r="L207" s="122"/>
    </row>
    <row r="208" spans="2:14">
      <c r="B208" s="220">
        <v>44071</v>
      </c>
      <c r="C208" s="221"/>
      <c r="D208" s="221" t="s">
        <v>210</v>
      </c>
      <c r="E208" s="288"/>
      <c r="F208" s="45"/>
      <c r="G208" s="9"/>
      <c r="H208" s="10"/>
      <c r="I208" s="39"/>
      <c r="J208" s="622">
        <v>1268500</v>
      </c>
      <c r="K208" s="228"/>
      <c r="L208" s="122"/>
    </row>
    <row r="209" spans="2:12">
      <c r="B209" s="293"/>
      <c r="C209" s="294"/>
      <c r="D209" s="294" t="s">
        <v>287</v>
      </c>
      <c r="E209" s="288"/>
      <c r="F209" s="45"/>
      <c r="G209" s="9"/>
      <c r="H209" s="10"/>
      <c r="I209" s="39"/>
      <c r="J209" s="392"/>
      <c r="K209" s="228"/>
      <c r="L209" s="122"/>
    </row>
    <row r="210" spans="2:12">
      <c r="B210" s="220">
        <v>44109</v>
      </c>
      <c r="C210" s="221"/>
      <c r="D210" s="222" t="s">
        <v>307</v>
      </c>
      <c r="E210" s="288"/>
      <c r="F210" s="45"/>
      <c r="G210" s="9"/>
      <c r="H210" s="10">
        <v>5000000</v>
      </c>
      <c r="I210" s="39"/>
      <c r="J210" s="219"/>
      <c r="K210" s="228"/>
      <c r="L210" s="122"/>
    </row>
    <row r="211" spans="2:12">
      <c r="B211" s="220"/>
      <c r="C211" s="221"/>
      <c r="D211" s="221"/>
      <c r="E211" s="288"/>
      <c r="F211" s="45"/>
      <c r="G211" s="9"/>
      <c r="H211" s="10"/>
      <c r="I211" s="39"/>
      <c r="J211" s="219"/>
      <c r="K211" s="228"/>
      <c r="L211" s="122"/>
    </row>
    <row r="212" spans="2:12">
      <c r="B212" s="204"/>
      <c r="C212" s="58"/>
      <c r="D212" s="59"/>
      <c r="E212" s="123"/>
      <c r="F212" s="45"/>
      <c r="G212" s="9"/>
      <c r="H212" s="10"/>
      <c r="I212" s="39"/>
      <c r="J212" s="219"/>
      <c r="K212" s="228"/>
      <c r="L212" s="122"/>
    </row>
    <row r="213" spans="2:12">
      <c r="B213" s="204"/>
      <c r="C213" s="58"/>
      <c r="D213" s="59"/>
      <c r="E213" s="123"/>
      <c r="F213" s="45"/>
      <c r="G213" s="9"/>
      <c r="H213" s="10"/>
      <c r="I213" s="39"/>
      <c r="J213" s="219"/>
      <c r="K213" s="228"/>
      <c r="L213" s="122"/>
    </row>
    <row r="214" spans="2:12">
      <c r="B214" s="204"/>
      <c r="C214" s="58"/>
      <c r="D214" s="59"/>
      <c r="E214" s="123"/>
      <c r="F214" s="45"/>
      <c r="G214" s="9"/>
      <c r="H214" s="10"/>
      <c r="I214" s="39"/>
      <c r="J214" s="219"/>
      <c r="K214" s="228"/>
      <c r="L214" s="122"/>
    </row>
    <row r="215" spans="2:12" ht="15.75">
      <c r="B215" s="202"/>
      <c r="C215" s="135" t="s">
        <v>36</v>
      </c>
      <c r="D215" s="135" t="s">
        <v>37</v>
      </c>
      <c r="E215" s="137">
        <f>'PROYECCION 2020'!C27</f>
        <v>1300000</v>
      </c>
      <c r="F215" s="138">
        <f>SUM(F216:F223)</f>
        <v>0</v>
      </c>
      <c r="G215" s="138">
        <f>SUM(G216:G223)</f>
        <v>300000</v>
      </c>
      <c r="H215" s="138">
        <f>SUM(H216:H223)</f>
        <v>0</v>
      </c>
      <c r="I215" s="139">
        <f>E215+F215+G215-H215</f>
        <v>1600000</v>
      </c>
      <c r="J215" s="393">
        <f>SUM(J216:J223)</f>
        <v>1400000</v>
      </c>
      <c r="K215" s="227">
        <f>I215-J215</f>
        <v>200000</v>
      </c>
      <c r="L215" s="122"/>
    </row>
    <row r="216" spans="2:12">
      <c r="B216" s="220"/>
      <c r="C216" s="221"/>
      <c r="D216" s="221" t="s">
        <v>291</v>
      </c>
      <c r="E216" s="123"/>
      <c r="F216" s="124"/>
      <c r="G216" s="9"/>
      <c r="H216" s="10"/>
      <c r="I216" s="39"/>
      <c r="J216" s="219"/>
      <c r="K216" s="228"/>
      <c r="L216" s="122"/>
    </row>
    <row r="217" spans="2:12">
      <c r="B217" s="220">
        <v>44109</v>
      </c>
      <c r="C217" s="221"/>
      <c r="D217" s="222" t="s">
        <v>296</v>
      </c>
      <c r="E217" s="123"/>
      <c r="F217" s="124"/>
      <c r="G217" s="9">
        <v>300000</v>
      </c>
      <c r="H217" s="10"/>
      <c r="I217" s="39"/>
      <c r="J217" s="219"/>
      <c r="K217" s="228"/>
      <c r="L217" s="122"/>
    </row>
    <row r="218" spans="2:12">
      <c r="B218" s="204"/>
      <c r="C218" s="58"/>
      <c r="D218" s="58" t="s">
        <v>304</v>
      </c>
      <c r="E218" s="123"/>
      <c r="F218" s="124"/>
      <c r="G218" s="9"/>
      <c r="H218" s="10"/>
      <c r="I218" s="39"/>
      <c r="J218" s="219">
        <v>1400000</v>
      </c>
      <c r="K218" s="228"/>
      <c r="L218" s="122"/>
    </row>
    <row r="219" spans="2:12">
      <c r="B219" s="204"/>
      <c r="C219" s="58"/>
      <c r="D219" s="58"/>
      <c r="E219" s="123"/>
      <c r="F219" s="124"/>
      <c r="G219" s="9"/>
      <c r="H219" s="10"/>
      <c r="I219" s="39"/>
      <c r="J219" s="219"/>
      <c r="K219" s="228"/>
      <c r="L219" s="122"/>
    </row>
    <row r="220" spans="2:12">
      <c r="B220" s="204"/>
      <c r="C220" s="58"/>
      <c r="D220" s="58"/>
      <c r="E220" s="123"/>
      <c r="F220" s="124"/>
      <c r="G220" s="9"/>
      <c r="H220" s="10"/>
      <c r="I220" s="39"/>
      <c r="J220" s="219"/>
      <c r="K220" s="228"/>
      <c r="L220" s="122"/>
    </row>
    <row r="221" spans="2:12">
      <c r="B221" s="204"/>
      <c r="C221" s="58"/>
      <c r="D221" s="58"/>
      <c r="E221" s="123"/>
      <c r="F221" s="124"/>
      <c r="G221" s="9"/>
      <c r="H221" s="10"/>
      <c r="I221" s="39"/>
      <c r="J221" s="219"/>
      <c r="K221" s="228"/>
      <c r="L221" s="122"/>
    </row>
    <row r="222" spans="2:12">
      <c r="B222" s="204"/>
      <c r="C222" s="58"/>
      <c r="D222" s="58"/>
      <c r="E222" s="123"/>
      <c r="F222" s="124"/>
      <c r="G222" s="9"/>
      <c r="H222" s="10"/>
      <c r="I222" s="39"/>
      <c r="J222" s="219"/>
      <c r="K222" s="228"/>
      <c r="L222" s="122"/>
    </row>
    <row r="223" spans="2:12">
      <c r="B223" s="204"/>
      <c r="C223" s="58"/>
      <c r="D223" s="58"/>
      <c r="E223" s="123"/>
      <c r="F223" s="124"/>
      <c r="G223" s="9"/>
      <c r="H223" s="10"/>
      <c r="I223" s="39"/>
      <c r="J223" s="219"/>
      <c r="K223" s="228"/>
      <c r="L223" s="122"/>
    </row>
    <row r="224" spans="2:12">
      <c r="B224" s="205"/>
      <c r="C224" s="125" t="s">
        <v>38</v>
      </c>
      <c r="D224" s="125" t="s">
        <v>39</v>
      </c>
      <c r="E224" s="126">
        <v>0</v>
      </c>
      <c r="F224" s="127">
        <v>0</v>
      </c>
      <c r="G224" s="121">
        <v>0</v>
      </c>
      <c r="H224" s="121">
        <v>0</v>
      </c>
      <c r="I224" s="121">
        <f>E224+F224+G224-H224</f>
        <v>0</v>
      </c>
      <c r="J224" s="390"/>
      <c r="K224" s="229"/>
      <c r="L224" s="122"/>
    </row>
    <row r="225" spans="2:12" ht="18">
      <c r="B225" s="211"/>
      <c r="C225" s="143" t="s">
        <v>40</v>
      </c>
      <c r="D225" s="157" t="s">
        <v>133</v>
      </c>
      <c r="E225" s="158">
        <f t="shared" ref="E225:K225" si="4">E226+E248+E381+E401+E416+E453+E483+E494+E498+E507+E517+E524+E530+E535+E539+E543</f>
        <v>127719000</v>
      </c>
      <c r="F225" s="158">
        <f t="shared" si="4"/>
        <v>0</v>
      </c>
      <c r="G225" s="158">
        <f t="shared" si="4"/>
        <v>20000000</v>
      </c>
      <c r="H225" s="158">
        <f t="shared" si="4"/>
        <v>21400000</v>
      </c>
      <c r="I225" s="158">
        <f t="shared" si="4"/>
        <v>126319000</v>
      </c>
      <c r="J225" s="397">
        <f t="shared" si="4"/>
        <v>68023853</v>
      </c>
      <c r="K225" s="158">
        <f t="shared" si="4"/>
        <v>58295147</v>
      </c>
      <c r="L225" s="122"/>
    </row>
    <row r="226" spans="2:12" ht="15.75">
      <c r="B226" s="202"/>
      <c r="C226" s="135">
        <v>2020120201</v>
      </c>
      <c r="D226" s="135" t="s">
        <v>43</v>
      </c>
      <c r="E226" s="137">
        <f>'PROYECCION 2020'!C30</f>
        <v>9000000</v>
      </c>
      <c r="F226" s="160">
        <f>SUM(F227:F247)</f>
        <v>0</v>
      </c>
      <c r="G226" s="160">
        <f>SUM(G227:G247)</f>
        <v>10000000</v>
      </c>
      <c r="H226" s="160">
        <f>SUM(H227:H247)</f>
        <v>6800000</v>
      </c>
      <c r="I226" s="139">
        <f>E226+F226+G226-H226</f>
        <v>12200000</v>
      </c>
      <c r="J226" s="398">
        <f>SUM(J227:J247)</f>
        <v>8695500</v>
      </c>
      <c r="K226" s="227">
        <f>I226-J226</f>
        <v>3504500</v>
      </c>
      <c r="L226" s="244">
        <f>K226</f>
        <v>3504500</v>
      </c>
    </row>
    <row r="227" spans="2:12">
      <c r="B227" s="204">
        <v>43850</v>
      </c>
      <c r="C227" s="58"/>
      <c r="D227" s="59" t="s">
        <v>185</v>
      </c>
      <c r="E227" s="123"/>
      <c r="F227" s="45"/>
      <c r="G227" s="11">
        <v>10000000</v>
      </c>
      <c r="H227" s="10"/>
      <c r="I227" s="39"/>
      <c r="J227" s="219"/>
      <c r="K227" s="228"/>
      <c r="L227" s="122"/>
    </row>
    <row r="228" spans="2:12">
      <c r="B228" s="204">
        <v>43853</v>
      </c>
      <c r="C228" s="58"/>
      <c r="D228" s="58" t="s">
        <v>187</v>
      </c>
      <c r="E228" s="123"/>
      <c r="F228" s="45"/>
      <c r="G228" s="11"/>
      <c r="H228" s="10"/>
      <c r="I228" s="39"/>
      <c r="J228" s="622">
        <v>1400000</v>
      </c>
      <c r="K228" s="228"/>
      <c r="L228" s="122"/>
    </row>
    <row r="229" spans="2:12">
      <c r="B229" s="204">
        <v>43895</v>
      </c>
      <c r="C229" s="58"/>
      <c r="D229" s="59" t="s">
        <v>210</v>
      </c>
      <c r="E229" s="123"/>
      <c r="F229" s="45"/>
      <c r="G229" s="11"/>
      <c r="H229" s="10"/>
      <c r="I229" s="39"/>
      <c r="J229" s="622">
        <v>1162000</v>
      </c>
      <c r="K229" s="228"/>
      <c r="L229" s="122"/>
    </row>
    <row r="230" spans="2:12">
      <c r="B230" s="204">
        <v>43941</v>
      </c>
      <c r="C230" s="58"/>
      <c r="D230" s="58" t="s">
        <v>210</v>
      </c>
      <c r="E230" s="123"/>
      <c r="F230" s="45"/>
      <c r="G230" s="11"/>
      <c r="H230" s="10"/>
      <c r="I230" s="39"/>
      <c r="J230" s="622">
        <v>1360000</v>
      </c>
      <c r="K230" s="228"/>
      <c r="L230" s="219"/>
    </row>
    <row r="231" spans="2:12">
      <c r="B231" s="204">
        <v>43992</v>
      </c>
      <c r="C231" s="58"/>
      <c r="D231" s="59" t="s">
        <v>210</v>
      </c>
      <c r="E231" s="407"/>
      <c r="F231" s="408"/>
      <c r="G231" s="409"/>
      <c r="H231" s="188"/>
      <c r="I231" s="185"/>
      <c r="J231" s="622">
        <v>1269500</v>
      </c>
      <c r="K231" s="228"/>
      <c r="L231" s="219"/>
    </row>
    <row r="232" spans="2:12">
      <c r="B232" s="204">
        <v>44028</v>
      </c>
      <c r="C232" s="58"/>
      <c r="D232" s="122" t="s">
        <v>258</v>
      </c>
      <c r="E232" s="122"/>
      <c r="F232" s="408"/>
      <c r="G232" s="409"/>
      <c r="H232" s="188"/>
      <c r="I232" s="122"/>
      <c r="J232" s="219">
        <v>980000</v>
      </c>
      <c r="K232" s="228"/>
      <c r="L232" s="21"/>
    </row>
    <row r="233" spans="2:12">
      <c r="B233" s="204">
        <v>44036</v>
      </c>
      <c r="C233" s="58"/>
      <c r="D233" s="59" t="s">
        <v>210</v>
      </c>
      <c r="E233" s="123"/>
      <c r="F233" s="45"/>
      <c r="G233" s="11"/>
      <c r="H233" s="10"/>
      <c r="I233" s="39"/>
      <c r="J233" s="622">
        <v>1124000</v>
      </c>
      <c r="K233" s="228"/>
      <c r="L233" s="122"/>
    </row>
    <row r="234" spans="2:12">
      <c r="B234" s="204">
        <v>44071</v>
      </c>
      <c r="C234" s="58"/>
      <c r="D234" s="58" t="s">
        <v>210</v>
      </c>
      <c r="E234" s="123"/>
      <c r="F234" s="45"/>
      <c r="G234" s="11"/>
      <c r="H234" s="10"/>
      <c r="I234" s="39"/>
      <c r="J234" s="622">
        <v>1400000</v>
      </c>
      <c r="K234" s="228"/>
      <c r="L234" s="122"/>
    </row>
    <row r="235" spans="2:12">
      <c r="B235" s="220">
        <v>44109</v>
      </c>
      <c r="C235" s="221"/>
      <c r="D235" s="222" t="s">
        <v>307</v>
      </c>
      <c r="E235" s="123"/>
      <c r="F235" s="45"/>
      <c r="G235" s="11"/>
      <c r="H235" s="10">
        <v>6800000</v>
      </c>
      <c r="I235" s="39"/>
      <c r="J235" s="392"/>
      <c r="K235" s="228"/>
      <c r="L235" s="122"/>
    </row>
    <row r="236" spans="2:12">
      <c r="B236" s="293"/>
      <c r="C236" s="294"/>
      <c r="D236" s="294"/>
      <c r="E236" s="123"/>
      <c r="F236" s="45"/>
      <c r="G236" s="11"/>
      <c r="H236" s="10"/>
      <c r="I236" s="39"/>
      <c r="J236" s="392"/>
      <c r="K236" s="228"/>
      <c r="L236" s="122"/>
    </row>
    <row r="237" spans="2:12">
      <c r="B237" s="220"/>
      <c r="C237" s="221"/>
      <c r="D237" s="294"/>
      <c r="E237" s="123"/>
      <c r="F237" s="45"/>
      <c r="G237" s="11"/>
      <c r="H237" s="10"/>
      <c r="I237" s="39"/>
      <c r="J237" s="219"/>
      <c r="K237" s="228"/>
      <c r="L237" s="122"/>
    </row>
    <row r="238" spans="2:12">
      <c r="B238" s="204"/>
      <c r="C238" s="58"/>
      <c r="D238" s="58"/>
      <c r="E238" s="123"/>
      <c r="F238" s="45"/>
      <c r="G238" s="11"/>
      <c r="H238" s="10"/>
      <c r="I238" s="39"/>
      <c r="J238" s="219"/>
      <c r="K238" s="228"/>
      <c r="L238" s="122"/>
    </row>
    <row r="239" spans="2:12">
      <c r="B239" s="204"/>
      <c r="C239" s="58"/>
      <c r="D239" s="58"/>
      <c r="E239" s="123"/>
      <c r="F239" s="45"/>
      <c r="G239" s="11"/>
      <c r="H239" s="10"/>
      <c r="I239" s="39"/>
      <c r="J239" s="219"/>
      <c r="K239" s="228"/>
      <c r="L239" s="122"/>
    </row>
    <row r="240" spans="2:12">
      <c r="B240" s="204"/>
      <c r="C240" s="58"/>
      <c r="D240" s="58"/>
      <c r="E240" s="123"/>
      <c r="F240" s="45"/>
      <c r="G240" s="11"/>
      <c r="H240" s="10"/>
      <c r="I240" s="39"/>
      <c r="J240" s="219"/>
      <c r="K240" s="228"/>
      <c r="L240" s="122"/>
    </row>
    <row r="241" spans="1:12">
      <c r="B241" s="204"/>
      <c r="C241" s="58"/>
      <c r="D241" s="58"/>
      <c r="E241" s="123"/>
      <c r="F241" s="45"/>
      <c r="G241" s="11"/>
      <c r="H241" s="10"/>
      <c r="I241" s="39"/>
      <c r="J241" s="219"/>
      <c r="K241" s="228"/>
      <c r="L241" s="122"/>
    </row>
    <row r="242" spans="1:12">
      <c r="B242" s="204"/>
      <c r="C242" s="58"/>
      <c r="D242" s="58"/>
      <c r="E242" s="123"/>
      <c r="F242" s="45"/>
      <c r="G242" s="11"/>
      <c r="H242" s="10"/>
      <c r="I242" s="39"/>
      <c r="J242" s="219"/>
      <c r="K242" s="228"/>
      <c r="L242" s="122"/>
    </row>
    <row r="243" spans="1:12">
      <c r="B243" s="204"/>
      <c r="C243" s="58"/>
      <c r="D243" s="58"/>
      <c r="E243" s="123"/>
      <c r="F243" s="45"/>
      <c r="G243" s="11"/>
      <c r="H243" s="10"/>
      <c r="I243" s="39"/>
      <c r="J243" s="219"/>
      <c r="K243" s="228"/>
      <c r="L243" s="122"/>
    </row>
    <row r="244" spans="1:12">
      <c r="B244" s="204"/>
      <c r="C244" s="58"/>
      <c r="D244" s="58"/>
      <c r="E244" s="123"/>
      <c r="F244" s="45"/>
      <c r="G244" s="11"/>
      <c r="H244" s="10"/>
      <c r="I244" s="39"/>
      <c r="J244" s="219"/>
      <c r="K244" s="228"/>
      <c r="L244" s="122"/>
    </row>
    <row r="245" spans="1:12">
      <c r="B245" s="204"/>
      <c r="C245" s="58"/>
      <c r="D245" s="58"/>
      <c r="E245" s="123"/>
      <c r="F245" s="45"/>
      <c r="G245" s="11"/>
      <c r="H245" s="10"/>
      <c r="I245" s="39"/>
      <c r="J245" s="219"/>
      <c r="K245" s="228"/>
      <c r="L245" s="122"/>
    </row>
    <row r="246" spans="1:12">
      <c r="B246" s="204"/>
      <c r="C246" s="58"/>
      <c r="D246" s="58"/>
      <c r="E246" s="123"/>
      <c r="F246" s="45"/>
      <c r="G246" s="11"/>
      <c r="H246" s="10"/>
      <c r="I246" s="39"/>
      <c r="J246" s="219"/>
      <c r="K246" s="228"/>
      <c r="L246" s="122"/>
    </row>
    <row r="247" spans="1:12">
      <c r="B247" s="204"/>
      <c r="C247" s="58"/>
      <c r="D247" s="58"/>
      <c r="E247" s="123"/>
      <c r="F247" s="45"/>
      <c r="G247" s="11"/>
      <c r="H247" s="10"/>
      <c r="I247" s="39"/>
      <c r="J247" s="219"/>
      <c r="K247" s="228"/>
      <c r="L247" s="122"/>
    </row>
    <row r="248" spans="1:12" ht="15.75">
      <c r="B248" s="202"/>
      <c r="C248" s="135">
        <v>2020120202</v>
      </c>
      <c r="D248" s="135" t="s">
        <v>44</v>
      </c>
      <c r="E248" s="137">
        <f>'PROYECCION 2020'!C31</f>
        <v>52500000</v>
      </c>
      <c r="F248" s="160">
        <f>SUM(F249:F380)</f>
        <v>0</v>
      </c>
      <c r="G248" s="160">
        <f>SUM(G249:G380)</f>
        <v>0</v>
      </c>
      <c r="H248" s="160">
        <f>SUM(H249:H380)</f>
        <v>0</v>
      </c>
      <c r="I248" s="139">
        <f>E248+F248+G248-H248</f>
        <v>52500000</v>
      </c>
      <c r="J248" s="398">
        <f>SUM(J249:J380)</f>
        <v>40573858</v>
      </c>
      <c r="K248" s="227">
        <f>I248-J248</f>
        <v>11926142</v>
      </c>
      <c r="L248" s="122"/>
    </row>
    <row r="249" spans="1:12" ht="12.75" customHeight="1">
      <c r="A249" s="13">
        <v>1</v>
      </c>
      <c r="B249" s="204">
        <v>43868</v>
      </c>
      <c r="C249" s="589" t="s">
        <v>196</v>
      </c>
      <c r="D249" s="58" t="s">
        <v>190</v>
      </c>
      <c r="E249" s="123"/>
      <c r="F249" s="45"/>
      <c r="G249" s="11"/>
      <c r="H249" s="10"/>
      <c r="I249" s="39"/>
      <c r="J249" s="622">
        <v>665500</v>
      </c>
      <c r="K249" s="228"/>
      <c r="L249" s="122"/>
    </row>
    <row r="250" spans="1:12" ht="12.75" customHeight="1">
      <c r="B250" s="204"/>
      <c r="C250" s="386" t="s">
        <v>197</v>
      </c>
      <c r="D250" s="58" t="s">
        <v>190</v>
      </c>
      <c r="E250" s="123"/>
      <c r="F250" s="45"/>
      <c r="G250" s="11"/>
      <c r="H250" s="10"/>
      <c r="I250" s="39"/>
      <c r="J250" s="622">
        <v>100000</v>
      </c>
      <c r="K250" s="228"/>
      <c r="L250" s="122"/>
    </row>
    <row r="251" spans="1:12" ht="12.75" customHeight="1">
      <c r="A251" s="13">
        <v>2</v>
      </c>
      <c r="B251" s="204">
        <v>43879</v>
      </c>
      <c r="C251" s="590" t="s">
        <v>196</v>
      </c>
      <c r="D251" s="58" t="s">
        <v>198</v>
      </c>
      <c r="E251" s="123"/>
      <c r="F251" s="45"/>
      <c r="G251" s="11"/>
      <c r="H251" s="10"/>
      <c r="I251" s="39"/>
      <c r="J251" s="622">
        <v>228800</v>
      </c>
      <c r="K251" s="228"/>
      <c r="L251" s="21"/>
    </row>
    <row r="252" spans="1:12" ht="12.75" customHeight="1">
      <c r="B252" s="204"/>
      <c r="C252" s="588" t="s">
        <v>197</v>
      </c>
      <c r="D252" s="58" t="s">
        <v>198</v>
      </c>
      <c r="E252" s="123"/>
      <c r="F252" s="45"/>
      <c r="G252" s="11"/>
      <c r="H252" s="10"/>
      <c r="I252" s="39"/>
      <c r="J252" s="622">
        <v>60000</v>
      </c>
      <c r="K252" s="228"/>
      <c r="L252" s="21"/>
    </row>
    <row r="253" spans="1:12" ht="12.75" customHeight="1">
      <c r="A253" s="13">
        <v>3</v>
      </c>
      <c r="B253" s="204">
        <v>43879</v>
      </c>
      <c r="C253" s="590" t="s">
        <v>196</v>
      </c>
      <c r="D253" s="58" t="s">
        <v>199</v>
      </c>
      <c r="E253" s="123"/>
      <c r="F253" s="45"/>
      <c r="G253" s="11"/>
      <c r="H253" s="10"/>
      <c r="I253" s="39"/>
      <c r="J253" s="622">
        <v>199300</v>
      </c>
      <c r="K253" s="228"/>
      <c r="L253" s="21"/>
    </row>
    <row r="254" spans="1:12" ht="12.75" customHeight="1">
      <c r="B254" s="204"/>
      <c r="C254" s="588" t="s">
        <v>197</v>
      </c>
      <c r="D254" s="58" t="s">
        <v>199</v>
      </c>
      <c r="E254" s="123"/>
      <c r="F254" s="45"/>
      <c r="G254" s="11"/>
      <c r="H254" s="10"/>
      <c r="I254" s="39"/>
      <c r="J254" s="622">
        <v>60000</v>
      </c>
      <c r="K254" s="228"/>
      <c r="L254" s="122"/>
    </row>
    <row r="255" spans="1:12" ht="12.75" customHeight="1">
      <c r="A255" s="13">
        <v>4</v>
      </c>
      <c r="B255" s="204">
        <v>43881</v>
      </c>
      <c r="C255" s="589" t="s">
        <v>196</v>
      </c>
      <c r="D255" s="58" t="s">
        <v>190</v>
      </c>
      <c r="E255" s="123"/>
      <c r="F255" s="45"/>
      <c r="G255" s="11"/>
      <c r="H255" s="10"/>
      <c r="I255" s="39"/>
      <c r="J255" s="622">
        <v>2329250</v>
      </c>
      <c r="K255" s="228"/>
      <c r="L255" s="122"/>
    </row>
    <row r="256" spans="1:12" ht="12.75" customHeight="1">
      <c r="B256" s="204"/>
      <c r="C256" s="386" t="s">
        <v>197</v>
      </c>
      <c r="D256" s="58" t="s">
        <v>190</v>
      </c>
      <c r="E256" s="123"/>
      <c r="F256" s="45"/>
      <c r="G256" s="11"/>
      <c r="H256" s="10"/>
      <c r="I256" s="39"/>
      <c r="J256" s="622">
        <v>50000</v>
      </c>
      <c r="K256" s="228"/>
      <c r="L256" s="122"/>
    </row>
    <row r="257" spans="1:12" ht="12.75" customHeight="1">
      <c r="A257" s="13">
        <v>5</v>
      </c>
      <c r="B257" s="204">
        <v>43881</v>
      </c>
      <c r="C257" s="589" t="s">
        <v>196</v>
      </c>
      <c r="D257" s="58" t="s">
        <v>203</v>
      </c>
      <c r="E257" s="123"/>
      <c r="F257" s="45"/>
      <c r="G257" s="11"/>
      <c r="H257" s="10"/>
      <c r="I257" s="39"/>
      <c r="J257" s="627">
        <v>1420650</v>
      </c>
      <c r="K257" s="228"/>
      <c r="L257" s="122"/>
    </row>
    <row r="258" spans="1:12" ht="12.75" customHeight="1">
      <c r="B258" s="204"/>
      <c r="C258" s="386" t="s">
        <v>197</v>
      </c>
      <c r="D258" s="58" t="s">
        <v>203</v>
      </c>
      <c r="E258" s="123"/>
      <c r="F258" s="45"/>
      <c r="G258" s="11"/>
      <c r="H258" s="10"/>
      <c r="I258" s="39"/>
      <c r="J258" s="622">
        <v>50000</v>
      </c>
      <c r="K258" s="228"/>
      <c r="L258" s="122"/>
    </row>
    <row r="259" spans="1:12" ht="12.75" customHeight="1">
      <c r="A259" s="13">
        <v>6</v>
      </c>
      <c r="B259" s="204">
        <v>43881</v>
      </c>
      <c r="C259" s="590" t="s">
        <v>196</v>
      </c>
      <c r="D259" s="58" t="s">
        <v>198</v>
      </c>
      <c r="E259" s="123"/>
      <c r="F259" s="45"/>
      <c r="G259" s="11"/>
      <c r="H259" s="10"/>
      <c r="I259" s="39"/>
      <c r="J259" s="622">
        <v>1258400</v>
      </c>
      <c r="K259" s="228"/>
      <c r="L259" s="122"/>
    </row>
    <row r="260" spans="1:12" ht="12.75" customHeight="1">
      <c r="B260" s="204"/>
      <c r="C260" s="588" t="s">
        <v>197</v>
      </c>
      <c r="D260" s="58" t="s">
        <v>198</v>
      </c>
      <c r="E260" s="123"/>
      <c r="F260" s="45"/>
      <c r="G260" s="11"/>
      <c r="H260" s="10"/>
      <c r="I260" s="39"/>
      <c r="J260" s="622">
        <v>50000</v>
      </c>
      <c r="K260" s="228"/>
      <c r="L260" s="122"/>
    </row>
    <row r="261" spans="1:12" ht="12.75" customHeight="1">
      <c r="A261" s="13">
        <v>7</v>
      </c>
      <c r="B261" s="204">
        <v>43881</v>
      </c>
      <c r="C261" s="590" t="s">
        <v>196</v>
      </c>
      <c r="D261" s="58" t="s">
        <v>204</v>
      </c>
      <c r="E261" s="123"/>
      <c r="F261" s="45"/>
      <c r="G261" s="11"/>
      <c r="H261" s="10"/>
      <c r="I261" s="39"/>
      <c r="J261" s="622">
        <v>1258400</v>
      </c>
      <c r="K261" s="228"/>
      <c r="L261" s="122"/>
    </row>
    <row r="262" spans="1:12" ht="12.75" customHeight="1">
      <c r="B262" s="220"/>
      <c r="C262" s="588" t="s">
        <v>197</v>
      </c>
      <c r="D262" s="221" t="s">
        <v>204</v>
      </c>
      <c r="E262" s="288"/>
      <c r="F262" s="45"/>
      <c r="G262" s="11"/>
      <c r="H262" s="10"/>
      <c r="I262" s="289"/>
      <c r="J262" s="622">
        <v>50000</v>
      </c>
      <c r="K262" s="228"/>
      <c r="L262" s="122"/>
    </row>
    <row r="263" spans="1:12" ht="12.75" customHeight="1">
      <c r="A263" s="13">
        <v>8</v>
      </c>
      <c r="B263" s="204">
        <v>43881</v>
      </c>
      <c r="C263" s="590" t="s">
        <v>196</v>
      </c>
      <c r="D263" s="58" t="s">
        <v>205</v>
      </c>
      <c r="E263" s="123"/>
      <c r="F263" s="45"/>
      <c r="G263" s="11"/>
      <c r="H263" s="10"/>
      <c r="I263" s="39"/>
      <c r="J263" s="622">
        <v>1096150</v>
      </c>
      <c r="K263" s="228"/>
      <c r="L263" s="122"/>
    </row>
    <row r="264" spans="1:12" ht="12.75" customHeight="1">
      <c r="B264" s="204"/>
      <c r="C264" s="588" t="s">
        <v>197</v>
      </c>
      <c r="D264" s="58" t="s">
        <v>205</v>
      </c>
      <c r="E264" s="123"/>
      <c r="F264" s="45"/>
      <c r="G264" s="11"/>
      <c r="H264" s="10"/>
      <c r="I264" s="39"/>
      <c r="J264" s="622">
        <v>50000</v>
      </c>
      <c r="K264" s="228"/>
      <c r="L264" s="122"/>
    </row>
    <row r="265" spans="1:12" ht="12.75" customHeight="1">
      <c r="A265" s="13">
        <v>9</v>
      </c>
      <c r="B265" s="204">
        <v>43896</v>
      </c>
      <c r="C265" s="589" t="s">
        <v>196</v>
      </c>
      <c r="D265" s="58" t="s">
        <v>190</v>
      </c>
      <c r="E265" s="123"/>
      <c r="F265" s="45"/>
      <c r="G265" s="11"/>
      <c r="H265" s="10"/>
      <c r="I265" s="39"/>
      <c r="J265" s="622">
        <v>3327500</v>
      </c>
      <c r="K265" s="228"/>
      <c r="L265" s="122"/>
    </row>
    <row r="266" spans="1:12" ht="12.75" customHeight="1">
      <c r="B266" s="204"/>
      <c r="C266" s="386" t="s">
        <v>197</v>
      </c>
      <c r="D266" s="58" t="s">
        <v>190</v>
      </c>
      <c r="E266" s="123"/>
      <c r="F266" s="45"/>
      <c r="G266" s="11"/>
      <c r="H266" s="10"/>
      <c r="I266" s="39"/>
      <c r="J266" s="622">
        <v>598370</v>
      </c>
      <c r="K266" s="228"/>
      <c r="L266" s="122"/>
    </row>
    <row r="267" spans="1:12" ht="12.75" customHeight="1">
      <c r="A267" s="13">
        <v>10</v>
      </c>
      <c r="B267" s="204">
        <v>43935</v>
      </c>
      <c r="C267" s="589" t="s">
        <v>196</v>
      </c>
      <c r="D267" s="58" t="s">
        <v>190</v>
      </c>
      <c r="E267" s="123"/>
      <c r="F267" s="45"/>
      <c r="G267" s="11"/>
      <c r="H267" s="10"/>
      <c r="I267" s="39"/>
      <c r="J267" s="622">
        <v>332750</v>
      </c>
      <c r="K267" s="228"/>
      <c r="L267" s="122"/>
    </row>
    <row r="268" spans="1:12" ht="12.75" customHeight="1">
      <c r="A268" s="13">
        <v>11</v>
      </c>
      <c r="B268" s="204">
        <v>43935</v>
      </c>
      <c r="C268" s="589" t="s">
        <v>196</v>
      </c>
      <c r="D268" s="58" t="s">
        <v>198</v>
      </c>
      <c r="E268" s="123"/>
      <c r="F268" s="45"/>
      <c r="G268" s="11"/>
      <c r="H268" s="10"/>
      <c r="I268" s="39"/>
      <c r="J268" s="622">
        <v>129150</v>
      </c>
      <c r="K268" s="228"/>
      <c r="L268" s="122"/>
    </row>
    <row r="269" spans="1:12" ht="12.75" customHeight="1">
      <c r="A269" s="13">
        <v>12</v>
      </c>
      <c r="B269" s="204">
        <v>43935</v>
      </c>
      <c r="C269" s="590" t="s">
        <v>196</v>
      </c>
      <c r="D269" s="58" t="s">
        <v>205</v>
      </c>
      <c r="E269" s="123"/>
      <c r="F269" s="45"/>
      <c r="G269" s="11"/>
      <c r="H269" s="10"/>
      <c r="I269" s="39"/>
      <c r="J269" s="622">
        <v>99650</v>
      </c>
      <c r="K269" s="228"/>
      <c r="L269" s="21"/>
    </row>
    <row r="270" spans="1:12" ht="12.75" customHeight="1">
      <c r="A270" s="13">
        <v>13</v>
      </c>
      <c r="B270" s="204">
        <v>43986</v>
      </c>
      <c r="C270" s="589" t="s">
        <v>196</v>
      </c>
      <c r="D270" s="58" t="s">
        <v>190</v>
      </c>
      <c r="E270" s="123"/>
      <c r="F270" s="45"/>
      <c r="G270" s="11"/>
      <c r="H270" s="10"/>
      <c r="I270" s="39"/>
      <c r="J270" s="622">
        <v>998250</v>
      </c>
      <c r="K270" s="228"/>
      <c r="L270" s="21"/>
    </row>
    <row r="271" spans="1:12" ht="12.75" customHeight="1">
      <c r="A271" s="13">
        <v>14</v>
      </c>
      <c r="B271" s="204" t="s">
        <v>248</v>
      </c>
      <c r="C271" s="589" t="s">
        <v>196</v>
      </c>
      <c r="D271" s="58" t="s">
        <v>190</v>
      </c>
      <c r="E271" s="123"/>
      <c r="F271" s="45"/>
      <c r="G271" s="11"/>
      <c r="H271" s="10"/>
      <c r="I271" s="39"/>
      <c r="J271" s="622">
        <v>2662000</v>
      </c>
      <c r="K271" s="228"/>
      <c r="L271" s="122"/>
    </row>
    <row r="272" spans="1:12" ht="12.75" customHeight="1">
      <c r="B272" s="204"/>
      <c r="C272" s="386" t="s">
        <v>197</v>
      </c>
      <c r="D272" s="58" t="s">
        <v>190</v>
      </c>
      <c r="E272" s="123"/>
      <c r="F272" s="45"/>
      <c r="G272" s="11"/>
      <c r="H272" s="10"/>
      <c r="I272" s="39"/>
      <c r="J272" s="622">
        <v>540000</v>
      </c>
      <c r="K272" s="228"/>
      <c r="L272" s="122"/>
    </row>
    <row r="273" spans="1:13" ht="12.75" customHeight="1">
      <c r="A273" s="13">
        <v>15</v>
      </c>
      <c r="B273" s="204">
        <v>44054</v>
      </c>
      <c r="C273" s="58" t="s">
        <v>196</v>
      </c>
      <c r="D273" s="58" t="s">
        <v>190</v>
      </c>
      <c r="E273" s="123"/>
      <c r="F273" s="45"/>
      <c r="G273" s="11"/>
      <c r="H273" s="10"/>
      <c r="I273" s="39"/>
      <c r="J273" s="622">
        <v>3327500</v>
      </c>
      <c r="K273" s="228"/>
      <c r="L273" s="122"/>
    </row>
    <row r="274" spans="1:13" ht="12.75" customHeight="1">
      <c r="B274" s="204"/>
      <c r="C274" s="58" t="s">
        <v>197</v>
      </c>
      <c r="D274" s="58" t="s">
        <v>190</v>
      </c>
      <c r="E274" s="123"/>
      <c r="F274" s="45"/>
      <c r="G274" s="11"/>
      <c r="H274" s="10"/>
      <c r="I274" s="39"/>
      <c r="J274" s="622">
        <v>600000</v>
      </c>
      <c r="K274" s="228"/>
      <c r="L274" s="122"/>
    </row>
    <row r="275" spans="1:13" ht="12.75" customHeight="1">
      <c r="A275" s="13">
        <v>16</v>
      </c>
      <c r="B275" s="204">
        <v>44074</v>
      </c>
      <c r="C275" s="58" t="s">
        <v>196</v>
      </c>
      <c r="D275" s="58" t="s">
        <v>190</v>
      </c>
      <c r="E275" s="123"/>
      <c r="F275" s="45"/>
      <c r="G275" s="11"/>
      <c r="H275" s="10"/>
      <c r="I275" s="39"/>
      <c r="J275" s="652">
        <v>3498305</v>
      </c>
      <c r="K275" s="228"/>
      <c r="L275" s="122"/>
    </row>
    <row r="276" spans="1:13" ht="12.75" customHeight="1">
      <c r="B276" s="204"/>
      <c r="C276" s="58" t="s">
        <v>197</v>
      </c>
      <c r="D276" s="58" t="s">
        <v>190</v>
      </c>
      <c r="E276" s="123"/>
      <c r="F276" s="45"/>
      <c r="G276" s="11"/>
      <c r="H276" s="10"/>
      <c r="I276" s="39"/>
      <c r="J276" s="652">
        <v>600000</v>
      </c>
      <c r="K276" s="228"/>
      <c r="L276" s="122"/>
    </row>
    <row r="277" spans="1:13" ht="12.75" customHeight="1">
      <c r="B277" s="204">
        <v>44099</v>
      </c>
      <c r="C277" s="58"/>
      <c r="D277" s="58" t="s">
        <v>289</v>
      </c>
      <c r="E277" s="123"/>
      <c r="F277" s="45"/>
      <c r="G277" s="11"/>
      <c r="H277" s="10"/>
      <c r="I277" s="39"/>
      <c r="J277" s="651">
        <v>-4098305</v>
      </c>
      <c r="K277" s="228"/>
      <c r="L277" s="122"/>
    </row>
    <row r="278" spans="1:13">
      <c r="A278" s="13">
        <v>17</v>
      </c>
      <c r="B278" s="204">
        <v>44102</v>
      </c>
      <c r="C278" s="58" t="s">
        <v>196</v>
      </c>
      <c r="D278" s="58" t="s">
        <v>190</v>
      </c>
      <c r="E278" s="123"/>
      <c r="F278" s="45"/>
      <c r="G278" s="11"/>
      <c r="H278" s="10"/>
      <c r="I278" s="39"/>
      <c r="J278" s="622">
        <v>3498305</v>
      </c>
      <c r="K278" s="228"/>
      <c r="L278" s="122"/>
    </row>
    <row r="279" spans="1:13" ht="12.75" customHeight="1">
      <c r="B279" s="204"/>
      <c r="C279" s="58" t="s">
        <v>197</v>
      </c>
      <c r="D279" s="221" t="s">
        <v>190</v>
      </c>
      <c r="E279" s="123"/>
      <c r="F279" s="45"/>
      <c r="G279" s="11"/>
      <c r="H279" s="10"/>
      <c r="I279" s="39"/>
      <c r="J279" s="622">
        <v>500000</v>
      </c>
      <c r="K279" s="228"/>
      <c r="L279" s="122"/>
    </row>
    <row r="280" spans="1:13" ht="12.75" customHeight="1">
      <c r="A280" s="13">
        <v>18</v>
      </c>
      <c r="B280" s="204">
        <v>44112</v>
      </c>
      <c r="C280" s="58" t="s">
        <v>196</v>
      </c>
      <c r="D280" s="58" t="s">
        <v>190</v>
      </c>
      <c r="E280" s="123"/>
      <c r="F280" s="45"/>
      <c r="G280" s="11"/>
      <c r="H280" s="10"/>
      <c r="I280" s="39"/>
      <c r="J280" s="622">
        <v>2098983</v>
      </c>
      <c r="K280" s="228"/>
      <c r="L280" s="122"/>
    </row>
    <row r="281" spans="1:13" ht="12.75" customHeight="1">
      <c r="B281" s="204"/>
      <c r="C281" s="58" t="s">
        <v>197</v>
      </c>
      <c r="D281" s="58" t="s">
        <v>190</v>
      </c>
      <c r="E281" s="123"/>
      <c r="F281" s="45"/>
      <c r="G281" s="11"/>
      <c r="H281" s="10"/>
      <c r="I281" s="39"/>
      <c r="J281" s="622">
        <v>300000</v>
      </c>
      <c r="K281" s="228"/>
      <c r="L281" s="122"/>
      <c r="M281" s="26">
        <f>K248</f>
        <v>11926142</v>
      </c>
    </row>
    <row r="282" spans="1:13" ht="12.75" customHeight="1">
      <c r="A282" s="13">
        <v>19</v>
      </c>
      <c r="B282" s="204">
        <v>44118</v>
      </c>
      <c r="C282" s="58" t="s">
        <v>196</v>
      </c>
      <c r="D282" s="58" t="s">
        <v>190</v>
      </c>
      <c r="E282" s="123"/>
      <c r="F282" s="45"/>
      <c r="G282" s="11"/>
      <c r="H282" s="10"/>
      <c r="I282" s="39"/>
      <c r="J282" s="622">
        <v>2098983</v>
      </c>
      <c r="K282" s="228"/>
      <c r="L282" s="122"/>
    </row>
    <row r="283" spans="1:13" ht="12.75" customHeight="1">
      <c r="B283" s="204"/>
      <c r="C283" s="58" t="s">
        <v>197</v>
      </c>
      <c r="D283" s="58" t="s">
        <v>190</v>
      </c>
      <c r="E283" s="123"/>
      <c r="F283" s="45"/>
      <c r="G283" s="11"/>
      <c r="H283" s="10"/>
      <c r="I283" s="39"/>
      <c r="J283" s="622">
        <v>500000</v>
      </c>
      <c r="K283" s="228"/>
      <c r="L283" s="122"/>
    </row>
    <row r="284" spans="1:13" ht="12.75" customHeight="1">
      <c r="A284" s="13">
        <v>20</v>
      </c>
      <c r="B284" s="204">
        <v>44118</v>
      </c>
      <c r="C284" s="58" t="s">
        <v>196</v>
      </c>
      <c r="D284" s="58" t="s">
        <v>198</v>
      </c>
      <c r="E284" s="123"/>
      <c r="F284" s="45"/>
      <c r="G284" s="11"/>
      <c r="H284" s="10"/>
      <c r="I284" s="39"/>
      <c r="J284" s="622">
        <v>1357730</v>
      </c>
      <c r="K284" s="228"/>
      <c r="L284" s="122"/>
    </row>
    <row r="285" spans="1:13" ht="12.75" customHeight="1">
      <c r="B285" s="204"/>
      <c r="C285" s="58" t="s">
        <v>197</v>
      </c>
      <c r="D285" s="58" t="s">
        <v>198</v>
      </c>
      <c r="E285" s="123"/>
      <c r="F285" s="45"/>
      <c r="G285" s="11"/>
      <c r="H285" s="10"/>
      <c r="I285" s="39"/>
      <c r="J285" s="622">
        <v>30000</v>
      </c>
      <c r="K285" s="228"/>
      <c r="L285" s="122"/>
    </row>
    <row r="286" spans="1:13" ht="12.75" customHeight="1">
      <c r="A286" s="13">
        <v>21</v>
      </c>
      <c r="B286" s="204">
        <v>44118</v>
      </c>
      <c r="C286" s="58" t="s">
        <v>196</v>
      </c>
      <c r="D286" s="58" t="s">
        <v>204</v>
      </c>
      <c r="E286" s="123"/>
      <c r="F286" s="45"/>
      <c r="G286" s="11"/>
      <c r="H286" s="10"/>
      <c r="I286" s="39"/>
      <c r="J286" s="622">
        <v>1202920</v>
      </c>
      <c r="K286" s="228"/>
      <c r="L286" s="122"/>
    </row>
    <row r="287" spans="1:13" ht="12.75" customHeight="1">
      <c r="B287" s="204"/>
      <c r="C287" s="58" t="s">
        <v>197</v>
      </c>
      <c r="D287" s="58" t="s">
        <v>204</v>
      </c>
      <c r="E287" s="123"/>
      <c r="F287" s="45"/>
      <c r="G287" s="11"/>
      <c r="H287" s="10"/>
      <c r="I287" s="39"/>
      <c r="J287" s="622">
        <v>30000</v>
      </c>
      <c r="K287" s="228"/>
      <c r="L287" s="122"/>
    </row>
    <row r="288" spans="1:13" ht="12.75" customHeight="1">
      <c r="A288" s="13">
        <v>22</v>
      </c>
      <c r="B288" s="204">
        <v>44118</v>
      </c>
      <c r="C288" s="58" t="s">
        <v>196</v>
      </c>
      <c r="D288" s="58" t="s">
        <v>205</v>
      </c>
      <c r="E288" s="123"/>
      <c r="F288" s="45"/>
      <c r="G288" s="11"/>
      <c r="H288" s="10"/>
      <c r="I288" s="39"/>
      <c r="J288" s="622">
        <v>1047555</v>
      </c>
      <c r="K288" s="228"/>
      <c r="L288" s="122"/>
    </row>
    <row r="289" spans="1:12" ht="12.75" customHeight="1">
      <c r="B289" s="204"/>
      <c r="C289" s="58" t="s">
        <v>197</v>
      </c>
      <c r="D289" s="58" t="s">
        <v>205</v>
      </c>
      <c r="E289" s="123"/>
      <c r="F289" s="45"/>
      <c r="G289" s="11"/>
      <c r="H289" s="10"/>
      <c r="I289" s="39"/>
      <c r="J289" s="622">
        <v>30000</v>
      </c>
      <c r="K289" s="228"/>
      <c r="L289" s="21"/>
    </row>
    <row r="290" spans="1:12" ht="12.75" customHeight="1">
      <c r="A290" s="13">
        <v>23</v>
      </c>
      <c r="B290" s="204">
        <v>44118</v>
      </c>
      <c r="C290" s="58" t="s">
        <v>196</v>
      </c>
      <c r="D290" s="58" t="s">
        <v>199</v>
      </c>
      <c r="E290" s="123"/>
      <c r="F290" s="45"/>
      <c r="G290" s="11"/>
      <c r="H290" s="10"/>
      <c r="I290" s="39"/>
      <c r="J290" s="622">
        <v>1047555</v>
      </c>
      <c r="K290" s="228"/>
      <c r="L290" s="122"/>
    </row>
    <row r="291" spans="1:12">
      <c r="B291" s="204"/>
      <c r="C291" s="58" t="s">
        <v>197</v>
      </c>
      <c r="D291" s="58" t="s">
        <v>199</v>
      </c>
      <c r="E291" s="123"/>
      <c r="F291" s="45"/>
      <c r="G291" s="11"/>
      <c r="H291" s="10"/>
      <c r="I291" s="39"/>
      <c r="J291" s="622">
        <v>30000</v>
      </c>
      <c r="K291" s="228"/>
      <c r="L291" s="122"/>
    </row>
    <row r="292" spans="1:12" ht="12.75" customHeight="1">
      <c r="A292" s="13">
        <v>24</v>
      </c>
      <c r="B292" s="204">
        <v>44123</v>
      </c>
      <c r="C292" s="58" t="s">
        <v>196</v>
      </c>
      <c r="D292" s="58" t="s">
        <v>190</v>
      </c>
      <c r="E292" s="123"/>
      <c r="F292" s="45"/>
      <c r="G292" s="11"/>
      <c r="H292" s="10"/>
      <c r="I292" s="39"/>
      <c r="J292" s="622">
        <v>3498305</v>
      </c>
      <c r="K292" s="228"/>
      <c r="L292" s="122"/>
    </row>
    <row r="293" spans="1:12" ht="12.75" customHeight="1">
      <c r="B293" s="204"/>
      <c r="C293" s="58" t="s">
        <v>197</v>
      </c>
      <c r="D293" s="58" t="s">
        <v>190</v>
      </c>
      <c r="E293" s="123"/>
      <c r="F293" s="45"/>
      <c r="G293" s="11"/>
      <c r="H293" s="10"/>
      <c r="I293" s="39"/>
      <c r="J293" s="622">
        <v>1188810</v>
      </c>
      <c r="K293" s="228"/>
      <c r="L293" s="122"/>
    </row>
    <row r="294" spans="1:12" ht="12.75" customHeight="1">
      <c r="A294" s="13">
        <v>25</v>
      </c>
      <c r="B294" s="204">
        <v>44131</v>
      </c>
      <c r="C294" s="58" t="s">
        <v>196</v>
      </c>
      <c r="D294" s="58" t="s">
        <v>198</v>
      </c>
      <c r="E294" s="123"/>
      <c r="F294" s="45"/>
      <c r="G294" s="11"/>
      <c r="H294" s="10"/>
      <c r="I294" s="39"/>
      <c r="J294" s="219">
        <v>543092</v>
      </c>
      <c r="K294" s="228"/>
      <c r="L294" s="122"/>
    </row>
    <row r="295" spans="1:12" ht="12.75" customHeight="1">
      <c r="B295" s="204"/>
      <c r="C295" s="58"/>
      <c r="D295" s="58"/>
      <c r="E295" s="123"/>
      <c r="F295" s="45"/>
      <c r="G295" s="11"/>
      <c r="H295" s="10"/>
      <c r="I295" s="39"/>
      <c r="J295" s="219">
        <v>30000</v>
      </c>
      <c r="K295" s="228"/>
      <c r="L295" s="122"/>
    </row>
    <row r="296" spans="1:12">
      <c r="B296" s="204"/>
      <c r="C296" s="58"/>
      <c r="D296" s="58"/>
      <c r="E296" s="123"/>
      <c r="F296" s="45"/>
      <c r="G296" s="11"/>
      <c r="H296" s="10"/>
      <c r="I296" s="39"/>
      <c r="J296" s="219"/>
      <c r="K296" s="228"/>
      <c r="L296" s="122"/>
    </row>
    <row r="297" spans="1:12" ht="12.75" customHeight="1">
      <c r="B297" s="204"/>
      <c r="C297" s="58"/>
      <c r="D297" s="58"/>
      <c r="E297" s="123"/>
      <c r="F297" s="45"/>
      <c r="G297" s="11"/>
      <c r="H297" s="10"/>
      <c r="I297" s="39"/>
      <c r="J297" s="219"/>
      <c r="K297" s="228"/>
      <c r="L297" s="122"/>
    </row>
    <row r="298" spans="1:12" ht="12.75" customHeight="1">
      <c r="B298" s="204"/>
      <c r="C298" s="58"/>
      <c r="D298" s="58"/>
      <c r="E298" s="123"/>
      <c r="F298" s="45"/>
      <c r="G298" s="11"/>
      <c r="H298" s="10"/>
      <c r="I298" s="39"/>
      <c r="J298" s="219"/>
      <c r="K298" s="228"/>
      <c r="L298" s="122"/>
    </row>
    <row r="299" spans="1:12" ht="12.75" customHeight="1">
      <c r="B299" s="204"/>
      <c r="C299" s="58"/>
      <c r="D299" s="58"/>
      <c r="E299" s="123"/>
      <c r="F299" s="45"/>
      <c r="G299" s="11"/>
      <c r="H299" s="10"/>
      <c r="I299" s="39"/>
      <c r="J299" s="219"/>
      <c r="K299" s="228"/>
      <c r="L299" s="122"/>
    </row>
    <row r="300" spans="1:12" ht="12.75" customHeight="1">
      <c r="B300" s="204"/>
      <c r="C300" s="58"/>
      <c r="D300" s="58"/>
      <c r="E300" s="123"/>
      <c r="F300" s="45"/>
      <c r="G300" s="11"/>
      <c r="H300" s="10"/>
      <c r="I300" s="39"/>
      <c r="J300" s="219"/>
      <c r="K300" s="228"/>
      <c r="L300" s="122"/>
    </row>
    <row r="301" spans="1:12" ht="12.75" customHeight="1">
      <c r="B301" s="204"/>
      <c r="C301" s="58"/>
      <c r="D301" s="58"/>
      <c r="E301" s="123"/>
      <c r="F301" s="45"/>
      <c r="G301" s="11"/>
      <c r="H301" s="10"/>
      <c r="I301" s="39"/>
      <c r="J301" s="219"/>
      <c r="K301" s="228"/>
      <c r="L301" s="122"/>
    </row>
    <row r="302" spans="1:12" ht="12.75" customHeight="1">
      <c r="B302" s="204"/>
      <c r="C302" s="58"/>
      <c r="D302" s="58"/>
      <c r="E302" s="123"/>
      <c r="F302" s="45"/>
      <c r="G302" s="11"/>
      <c r="H302" s="10"/>
      <c r="I302" s="39"/>
      <c r="J302" s="219"/>
      <c r="K302" s="228"/>
      <c r="L302" s="122"/>
    </row>
    <row r="303" spans="1:12" ht="12.75" customHeight="1">
      <c r="B303" s="204"/>
      <c r="C303" s="58"/>
      <c r="D303" s="58"/>
      <c r="E303" s="123"/>
      <c r="F303" s="45"/>
      <c r="G303" s="11"/>
      <c r="H303" s="10"/>
      <c r="I303" s="39"/>
      <c r="J303" s="219"/>
      <c r="K303" s="228"/>
      <c r="L303" s="122"/>
    </row>
    <row r="304" spans="1:12" ht="12.75" customHeight="1">
      <c r="B304" s="204"/>
      <c r="C304" s="58"/>
      <c r="D304" s="58"/>
      <c r="E304" s="123"/>
      <c r="F304" s="45"/>
      <c r="G304" s="11"/>
      <c r="H304" s="10"/>
      <c r="I304" s="39"/>
      <c r="J304" s="219"/>
      <c r="K304" s="228"/>
      <c r="L304" s="122"/>
    </row>
    <row r="305" spans="2:13" ht="12.75" customHeight="1">
      <c r="B305" s="204"/>
      <c r="C305" s="58"/>
      <c r="D305" s="58"/>
      <c r="E305" s="123"/>
      <c r="F305" s="45"/>
      <c r="G305" s="11"/>
      <c r="H305" s="10"/>
      <c r="I305" s="39"/>
      <c r="J305" s="219"/>
      <c r="K305" s="228"/>
      <c r="L305" s="122"/>
    </row>
    <row r="306" spans="2:13" ht="12.75" customHeight="1">
      <c r="B306" s="204"/>
      <c r="C306" s="58"/>
      <c r="D306" s="58"/>
      <c r="E306" s="123"/>
      <c r="F306" s="45"/>
      <c r="G306" s="11"/>
      <c r="H306" s="10"/>
      <c r="I306" s="39"/>
      <c r="J306" s="219"/>
      <c r="K306" s="228"/>
      <c r="L306" s="122"/>
    </row>
    <row r="307" spans="2:13" ht="12.75" customHeight="1">
      <c r="B307" s="204"/>
      <c r="C307" s="58"/>
      <c r="D307" s="58"/>
      <c r="E307" s="123"/>
      <c r="F307" s="45"/>
      <c r="G307" s="11"/>
      <c r="H307" s="10"/>
      <c r="I307" s="39"/>
      <c r="J307" s="219"/>
      <c r="K307" s="228"/>
      <c r="L307" s="122"/>
    </row>
    <row r="308" spans="2:13" ht="12.75" customHeight="1">
      <c r="B308" s="204"/>
      <c r="C308" s="58"/>
      <c r="D308" s="58"/>
      <c r="E308" s="123"/>
      <c r="F308" s="45"/>
      <c r="G308" s="11"/>
      <c r="H308" s="10"/>
      <c r="I308" s="39"/>
      <c r="J308" s="219"/>
      <c r="K308" s="228"/>
      <c r="L308" s="122"/>
    </row>
    <row r="309" spans="2:13" ht="12.75" customHeight="1">
      <c r="B309" s="204"/>
      <c r="C309" s="58"/>
      <c r="D309" s="58"/>
      <c r="E309" s="123"/>
      <c r="F309" s="45"/>
      <c r="G309" s="11"/>
      <c r="H309" s="10"/>
      <c r="I309" s="39"/>
      <c r="J309" s="219"/>
      <c r="K309" s="228"/>
      <c r="L309" s="219"/>
    </row>
    <row r="310" spans="2:13" ht="12.75" customHeight="1">
      <c r="B310" s="204"/>
      <c r="C310" s="58"/>
      <c r="D310" s="58"/>
      <c r="E310" s="123"/>
      <c r="F310" s="45"/>
      <c r="G310" s="11"/>
      <c r="H310" s="10"/>
      <c r="I310" s="39"/>
      <c r="J310" s="219"/>
      <c r="K310" s="228"/>
      <c r="L310" s="122"/>
    </row>
    <row r="311" spans="2:13" ht="12.75" customHeight="1">
      <c r="B311" s="204"/>
      <c r="C311" s="58"/>
      <c r="D311" s="58"/>
      <c r="E311" s="123"/>
      <c r="F311" s="45"/>
      <c r="G311" s="11"/>
      <c r="H311" s="10"/>
      <c r="I311" s="39"/>
      <c r="J311" s="219"/>
      <c r="K311" s="228"/>
      <c r="L311" s="122"/>
    </row>
    <row r="312" spans="2:13" ht="12.75" customHeight="1">
      <c r="B312" s="204"/>
      <c r="C312" s="58"/>
      <c r="D312" s="58"/>
      <c r="E312" s="123"/>
      <c r="F312" s="45"/>
      <c r="G312" s="11"/>
      <c r="H312" s="10"/>
      <c r="I312" s="39"/>
      <c r="J312" s="219"/>
      <c r="K312" s="228"/>
      <c r="L312" s="122"/>
    </row>
    <row r="313" spans="2:13" ht="12.75" customHeight="1">
      <c r="B313" s="204"/>
      <c r="C313" s="58"/>
      <c r="D313" s="58"/>
      <c r="E313" s="123"/>
      <c r="F313" s="45"/>
      <c r="G313" s="11"/>
      <c r="H313" s="10"/>
      <c r="I313" s="39"/>
      <c r="J313" s="219"/>
      <c r="K313" s="228"/>
      <c r="L313" s="122"/>
    </row>
    <row r="314" spans="2:13">
      <c r="B314" s="204"/>
      <c r="C314" s="58"/>
      <c r="D314" s="58"/>
      <c r="E314" s="123"/>
      <c r="F314" s="45"/>
      <c r="G314" s="11"/>
      <c r="H314" s="10"/>
      <c r="I314" s="39"/>
      <c r="J314" s="219"/>
      <c r="K314" s="228"/>
      <c r="L314" s="122"/>
    </row>
    <row r="315" spans="2:13" ht="12.75" customHeight="1">
      <c r="B315" s="204"/>
      <c r="C315" s="58"/>
      <c r="D315" s="58"/>
      <c r="E315" s="123"/>
      <c r="F315" s="45"/>
      <c r="G315" s="11"/>
      <c r="H315" s="10"/>
      <c r="I315" s="39"/>
      <c r="K315" s="228"/>
      <c r="L315" s="21"/>
      <c r="M315" s="26">
        <f>K248</f>
        <v>11926142</v>
      </c>
    </row>
    <row r="316" spans="2:13" ht="12.75" customHeight="1">
      <c r="B316" s="204"/>
      <c r="C316" s="58"/>
      <c r="D316" s="58"/>
      <c r="E316" s="123"/>
      <c r="F316" s="45"/>
      <c r="G316" s="11"/>
      <c r="H316" s="10"/>
      <c r="I316" s="39"/>
      <c r="J316" s="219"/>
      <c r="K316" s="228"/>
      <c r="L316" s="122"/>
    </row>
    <row r="317" spans="2:13" ht="12.75" customHeight="1">
      <c r="B317" s="204"/>
      <c r="C317" s="58"/>
      <c r="D317" s="58"/>
      <c r="E317" s="123"/>
      <c r="F317" s="45"/>
      <c r="G317" s="11"/>
      <c r="H317" s="10"/>
      <c r="I317" s="39"/>
      <c r="J317" s="219"/>
      <c r="K317" s="228"/>
      <c r="L317" s="122"/>
    </row>
    <row r="318" spans="2:13" ht="12.75" customHeight="1">
      <c r="B318" s="204"/>
      <c r="C318" s="58"/>
      <c r="F318" s="45"/>
      <c r="G318" s="11"/>
      <c r="H318" s="10"/>
      <c r="J318" s="219"/>
      <c r="K318" s="228"/>
      <c r="L318" s="122"/>
    </row>
    <row r="319" spans="2:13" ht="12" customHeight="1">
      <c r="B319" s="204"/>
      <c r="C319" s="58"/>
      <c r="D319" s="58"/>
      <c r="E319" s="123"/>
      <c r="F319" s="45"/>
      <c r="G319" s="11"/>
      <c r="H319" s="10"/>
      <c r="I319" s="39"/>
      <c r="J319" s="219"/>
      <c r="K319" s="228"/>
      <c r="L319" s="122"/>
    </row>
    <row r="320" spans="2:13" ht="12.75" customHeight="1">
      <c r="B320" s="204"/>
      <c r="C320" s="58"/>
      <c r="D320" s="58"/>
      <c r="E320" s="123"/>
      <c r="F320" s="45"/>
      <c r="G320" s="11"/>
      <c r="H320" s="10"/>
      <c r="I320" s="39"/>
      <c r="J320" s="219"/>
      <c r="K320" s="228"/>
      <c r="L320" s="122"/>
    </row>
    <row r="321" spans="2:12" ht="12.75" customHeight="1">
      <c r="B321" s="204"/>
      <c r="C321" s="58"/>
      <c r="F321" s="45"/>
      <c r="G321" s="11"/>
      <c r="H321" s="10"/>
      <c r="J321" s="219"/>
      <c r="K321" s="228"/>
      <c r="L321" s="122"/>
    </row>
    <row r="322" spans="2:12" ht="12.75" customHeight="1">
      <c r="B322" s="204"/>
      <c r="C322" s="58"/>
      <c r="D322" s="58"/>
      <c r="E322" s="123"/>
      <c r="F322" s="45"/>
      <c r="G322" s="11"/>
      <c r="H322" s="10"/>
      <c r="I322" s="39"/>
      <c r="J322" s="219"/>
      <c r="K322" s="228"/>
      <c r="L322" s="122"/>
    </row>
    <row r="323" spans="2:12" ht="12.75" customHeight="1">
      <c r="B323" s="204"/>
      <c r="C323" s="58"/>
      <c r="D323" s="58"/>
      <c r="E323" s="123"/>
      <c r="F323" s="45"/>
      <c r="G323" s="11"/>
      <c r="H323" s="10"/>
      <c r="I323" s="39"/>
      <c r="J323" s="219"/>
      <c r="K323" s="228"/>
      <c r="L323" s="122"/>
    </row>
    <row r="324" spans="2:12" ht="12.75" customHeight="1">
      <c r="B324" s="204"/>
      <c r="C324" s="58"/>
      <c r="D324" s="58"/>
      <c r="E324" s="123"/>
      <c r="F324" s="45"/>
      <c r="G324" s="11"/>
      <c r="H324" s="10"/>
      <c r="I324" s="39"/>
      <c r="J324" s="219"/>
      <c r="K324" s="228"/>
      <c r="L324" s="122"/>
    </row>
    <row r="325" spans="2:12" ht="12.75" customHeight="1">
      <c r="B325" s="204"/>
      <c r="C325" s="58"/>
      <c r="D325" s="58"/>
      <c r="E325" s="123"/>
      <c r="F325" s="45"/>
      <c r="G325" s="11"/>
      <c r="H325" s="10"/>
      <c r="I325" s="39"/>
      <c r="J325" s="219"/>
      <c r="K325" s="228"/>
      <c r="L325" s="122"/>
    </row>
    <row r="326" spans="2:12">
      <c r="B326" s="204"/>
      <c r="C326" s="58"/>
      <c r="D326" s="58"/>
      <c r="E326" s="123"/>
      <c r="F326" s="45"/>
      <c r="G326" s="11"/>
      <c r="H326" s="10"/>
      <c r="I326" s="39"/>
      <c r="J326" s="219"/>
      <c r="K326" s="228"/>
      <c r="L326" s="122"/>
    </row>
    <row r="327" spans="2:12" ht="12.75" customHeight="1">
      <c r="B327" s="204"/>
      <c r="C327" s="58"/>
      <c r="D327" s="58"/>
      <c r="E327" s="123"/>
      <c r="F327" s="45"/>
      <c r="G327" s="11"/>
      <c r="H327" s="10"/>
      <c r="I327" s="39"/>
      <c r="J327" s="219"/>
      <c r="K327" s="228"/>
      <c r="L327" s="122"/>
    </row>
    <row r="328" spans="2:12" ht="12.75" customHeight="1">
      <c r="B328" s="204"/>
      <c r="C328" s="58"/>
      <c r="D328" s="58"/>
      <c r="E328" s="123"/>
      <c r="F328" s="45"/>
      <c r="G328" s="11"/>
      <c r="H328" s="10"/>
      <c r="I328" s="39"/>
      <c r="J328" s="219"/>
      <c r="K328" s="228"/>
      <c r="L328" s="122"/>
    </row>
    <row r="329" spans="2:12" ht="12.75" customHeight="1">
      <c r="B329" s="204"/>
      <c r="C329" s="58"/>
      <c r="D329" s="58"/>
      <c r="E329" s="123"/>
      <c r="F329" s="45"/>
      <c r="G329" s="11"/>
      <c r="H329" s="10"/>
      <c r="I329" s="39"/>
      <c r="J329" s="219"/>
      <c r="K329" s="228"/>
      <c r="L329" s="122"/>
    </row>
    <row r="330" spans="2:12" ht="12.75" customHeight="1">
      <c r="B330" s="204"/>
      <c r="C330" s="58"/>
      <c r="D330" s="58"/>
      <c r="E330" s="123"/>
      <c r="F330" s="45"/>
      <c r="G330" s="11"/>
      <c r="H330" s="10"/>
      <c r="I330" s="39"/>
      <c r="J330" s="219"/>
      <c r="K330" s="228"/>
      <c r="L330" s="122"/>
    </row>
    <row r="331" spans="2:12" ht="12.75" customHeight="1">
      <c r="B331" s="204"/>
      <c r="C331" s="58"/>
      <c r="D331" s="58"/>
      <c r="E331" s="123"/>
      <c r="F331" s="45"/>
      <c r="G331" s="11"/>
      <c r="H331" s="10"/>
      <c r="I331" s="39"/>
      <c r="J331" s="219"/>
      <c r="K331" s="228"/>
      <c r="L331" s="122"/>
    </row>
    <row r="332" spans="2:12" ht="12.75" customHeight="1">
      <c r="B332" s="220"/>
      <c r="C332" s="221"/>
      <c r="D332" s="221"/>
      <c r="E332" s="123"/>
      <c r="F332" s="45"/>
      <c r="G332" s="173"/>
      <c r="H332" s="10"/>
      <c r="I332" s="39"/>
      <c r="J332" s="219"/>
      <c r="K332" s="228"/>
      <c r="L332" s="122"/>
    </row>
    <row r="333" spans="2:12" ht="12.75" customHeight="1">
      <c r="B333" s="204"/>
      <c r="C333" s="58"/>
      <c r="D333" s="58"/>
      <c r="E333" s="123"/>
      <c r="F333" s="45"/>
      <c r="G333" s="11"/>
      <c r="H333" s="10"/>
      <c r="I333" s="39"/>
      <c r="J333" s="219"/>
      <c r="K333" s="228"/>
      <c r="L333" s="122"/>
    </row>
    <row r="334" spans="2:12">
      <c r="B334" s="204"/>
      <c r="C334" s="58"/>
      <c r="D334" s="58"/>
      <c r="E334" s="123"/>
      <c r="F334" s="45"/>
      <c r="G334" s="11"/>
      <c r="H334" s="10"/>
      <c r="I334" s="39"/>
      <c r="J334" s="219"/>
      <c r="K334" s="228"/>
      <c r="L334" s="122"/>
    </row>
    <row r="335" spans="2:12" ht="12.75" customHeight="1">
      <c r="B335" s="204"/>
      <c r="C335" s="58"/>
      <c r="D335" s="58"/>
      <c r="E335" s="123"/>
      <c r="F335" s="45"/>
      <c r="G335" s="11"/>
      <c r="H335" s="10"/>
      <c r="I335" s="39"/>
      <c r="J335" s="219"/>
      <c r="K335" s="228"/>
      <c r="L335" s="122"/>
    </row>
    <row r="336" spans="2:12" ht="12.75" customHeight="1">
      <c r="B336" s="204"/>
      <c r="C336" s="58"/>
      <c r="D336" s="58"/>
      <c r="E336" s="123"/>
      <c r="F336" s="45"/>
      <c r="G336" s="11"/>
      <c r="H336" s="10"/>
      <c r="I336" s="39"/>
      <c r="J336" s="219"/>
      <c r="K336" s="228"/>
      <c r="L336" s="122"/>
    </row>
    <row r="337" spans="2:12" s="410" customFormat="1" ht="12.75" customHeight="1">
      <c r="B337" s="411"/>
      <c r="C337" s="386"/>
      <c r="D337" s="386"/>
      <c r="E337" s="412"/>
      <c r="F337" s="413"/>
      <c r="G337" s="414"/>
      <c r="H337" s="415"/>
      <c r="I337" s="415"/>
      <c r="J337" s="416"/>
      <c r="K337" s="417"/>
      <c r="L337" s="418"/>
    </row>
    <row r="338" spans="2:12" ht="12.75" customHeight="1">
      <c r="B338" s="204"/>
      <c r="C338" s="58"/>
      <c r="D338" s="58"/>
      <c r="E338" s="123"/>
      <c r="F338" s="45"/>
      <c r="G338" s="11"/>
      <c r="H338" s="10"/>
      <c r="I338" s="39"/>
      <c r="J338" s="219"/>
      <c r="K338" s="228"/>
      <c r="L338" s="21"/>
    </row>
    <row r="339" spans="2:12" ht="12.75" customHeight="1">
      <c r="B339" s="204"/>
      <c r="C339" s="58"/>
      <c r="D339" s="58"/>
      <c r="E339" s="123"/>
      <c r="F339" s="45"/>
      <c r="G339" s="11"/>
      <c r="H339" s="10"/>
      <c r="I339" s="39"/>
      <c r="J339" s="219"/>
      <c r="K339" s="228"/>
      <c r="L339" s="122"/>
    </row>
    <row r="340" spans="2:12" ht="12.75" customHeight="1">
      <c r="B340" s="204"/>
      <c r="C340" s="58"/>
      <c r="D340" s="58"/>
      <c r="E340" s="123"/>
      <c r="F340" s="45"/>
      <c r="G340" s="11"/>
      <c r="H340" s="10"/>
      <c r="I340" s="39"/>
      <c r="J340" s="219"/>
      <c r="K340" s="228"/>
      <c r="L340" s="122"/>
    </row>
    <row r="341" spans="2:12" ht="12.75" customHeight="1">
      <c r="B341" s="204"/>
      <c r="C341" s="58"/>
      <c r="D341" s="58"/>
      <c r="E341" s="123"/>
      <c r="F341" s="45"/>
      <c r="G341" s="11"/>
      <c r="H341" s="10"/>
      <c r="I341" s="39"/>
      <c r="J341" s="219"/>
      <c r="K341" s="228"/>
      <c r="L341" s="122"/>
    </row>
    <row r="342" spans="2:12" ht="12.75" customHeight="1">
      <c r="B342" s="204"/>
      <c r="C342" s="58"/>
      <c r="D342" s="58"/>
      <c r="E342" s="123"/>
      <c r="F342" s="45"/>
      <c r="G342" s="11"/>
      <c r="H342" s="10"/>
      <c r="I342" s="39"/>
      <c r="J342" s="219"/>
      <c r="K342" s="228"/>
      <c r="L342" s="122"/>
    </row>
    <row r="343" spans="2:12" ht="12.75" customHeight="1">
      <c r="B343" s="204"/>
      <c r="C343" s="221"/>
      <c r="D343" s="221"/>
      <c r="E343" s="123"/>
      <c r="F343" s="45"/>
      <c r="G343" s="11"/>
      <c r="H343" s="10"/>
      <c r="I343" s="39"/>
      <c r="J343" s="219"/>
      <c r="K343" s="228"/>
      <c r="L343" s="122"/>
    </row>
    <row r="344" spans="2:12" ht="12.75" customHeight="1">
      <c r="B344" s="204"/>
      <c r="C344" s="294"/>
      <c r="D344" s="294"/>
      <c r="E344" s="123"/>
      <c r="F344" s="45"/>
      <c r="G344" s="173"/>
      <c r="H344" s="10"/>
      <c r="I344" s="39"/>
      <c r="K344" s="228"/>
      <c r="L344" s="122"/>
    </row>
    <row r="345" spans="2:12">
      <c r="B345" s="204"/>
      <c r="C345" s="58"/>
      <c r="D345" s="58"/>
      <c r="E345" s="123"/>
      <c r="F345" s="45"/>
      <c r="G345" s="11"/>
      <c r="H345" s="10"/>
      <c r="I345" s="39"/>
      <c r="J345" s="219"/>
      <c r="K345" s="228"/>
      <c r="L345" s="122"/>
    </row>
    <row r="346" spans="2:12">
      <c r="B346" s="204"/>
      <c r="C346" s="58"/>
      <c r="D346" s="58"/>
      <c r="E346" s="123"/>
      <c r="F346" s="45"/>
      <c r="G346" s="11"/>
      <c r="H346" s="10"/>
      <c r="I346" s="39"/>
      <c r="J346" s="219"/>
      <c r="K346" s="228"/>
      <c r="L346" s="122"/>
    </row>
    <row r="347" spans="2:12">
      <c r="B347" s="204"/>
      <c r="C347" s="58"/>
      <c r="D347" s="58"/>
      <c r="E347" s="123"/>
      <c r="F347" s="45"/>
      <c r="G347" s="11"/>
      <c r="H347" s="10"/>
      <c r="I347" s="39"/>
      <c r="J347" s="219"/>
      <c r="K347" s="228"/>
      <c r="L347" s="122"/>
    </row>
    <row r="348" spans="2:12">
      <c r="B348" s="204"/>
      <c r="C348" s="58"/>
      <c r="D348" s="58"/>
      <c r="E348" s="123"/>
      <c r="F348" s="45"/>
      <c r="G348" s="11"/>
      <c r="H348" s="10"/>
      <c r="I348" s="39"/>
      <c r="J348" s="219"/>
      <c r="K348" s="228"/>
      <c r="L348" s="122"/>
    </row>
    <row r="349" spans="2:12">
      <c r="B349" s="204"/>
      <c r="C349" s="58"/>
      <c r="D349" s="58"/>
      <c r="E349" s="123"/>
      <c r="F349" s="45"/>
      <c r="G349" s="11"/>
      <c r="H349" s="10"/>
      <c r="I349" s="39"/>
      <c r="J349" s="219"/>
      <c r="K349" s="228"/>
      <c r="L349" s="122"/>
    </row>
    <row r="350" spans="2:12">
      <c r="B350" s="204"/>
      <c r="C350" s="58"/>
      <c r="D350" s="58"/>
      <c r="E350" s="123"/>
      <c r="F350" s="45"/>
      <c r="G350" s="11"/>
      <c r="H350" s="10"/>
      <c r="I350" s="39"/>
      <c r="J350" s="219"/>
      <c r="K350" s="228"/>
      <c r="L350" s="122"/>
    </row>
    <row r="351" spans="2:12">
      <c r="B351" s="204"/>
      <c r="C351" s="58"/>
      <c r="D351" s="58"/>
      <c r="E351" s="123"/>
      <c r="F351" s="45"/>
      <c r="G351" s="11"/>
      <c r="H351" s="10"/>
      <c r="I351" s="39"/>
      <c r="J351" s="219"/>
      <c r="K351" s="228"/>
      <c r="L351" s="122"/>
    </row>
    <row r="352" spans="2:12">
      <c r="B352" s="204"/>
      <c r="C352" s="58"/>
      <c r="D352" s="58"/>
      <c r="E352" s="123"/>
      <c r="F352" s="45"/>
      <c r="G352" s="11"/>
      <c r="H352" s="10"/>
      <c r="I352" s="39"/>
      <c r="J352" s="219"/>
      <c r="K352" s="228"/>
      <c r="L352" s="122"/>
    </row>
    <row r="353" spans="2:12">
      <c r="B353" s="204"/>
      <c r="C353" s="58"/>
      <c r="D353" s="58"/>
      <c r="E353" s="123"/>
      <c r="F353" s="45"/>
      <c r="G353" s="11"/>
      <c r="H353" s="10"/>
      <c r="I353" s="39"/>
      <c r="J353" s="219"/>
      <c r="K353" s="228"/>
      <c r="L353" s="122"/>
    </row>
    <row r="354" spans="2:12">
      <c r="B354" s="204"/>
      <c r="C354" s="58"/>
      <c r="D354" s="58"/>
      <c r="E354" s="123"/>
      <c r="F354" s="45"/>
      <c r="G354" s="11"/>
      <c r="H354" s="10"/>
      <c r="I354" s="39"/>
      <c r="J354" s="219"/>
      <c r="K354" s="228"/>
      <c r="L354" s="122"/>
    </row>
    <row r="355" spans="2:12">
      <c r="B355" s="204"/>
      <c r="C355" s="58"/>
      <c r="D355" s="58"/>
      <c r="E355" s="123"/>
      <c r="F355" s="45"/>
      <c r="G355" s="11"/>
      <c r="H355" s="10"/>
      <c r="I355" s="39"/>
      <c r="J355" s="219"/>
      <c r="K355" s="228"/>
      <c r="L355" s="122"/>
    </row>
    <row r="356" spans="2:12">
      <c r="B356" s="204"/>
      <c r="C356" s="58"/>
      <c r="D356" s="58"/>
      <c r="E356" s="123"/>
      <c r="F356" s="45"/>
      <c r="G356" s="11"/>
      <c r="H356" s="10"/>
      <c r="I356" s="39"/>
      <c r="J356" s="219"/>
      <c r="K356" s="228"/>
      <c r="L356" s="122"/>
    </row>
    <row r="357" spans="2:12">
      <c r="B357" s="204"/>
      <c r="C357" s="58"/>
      <c r="D357" s="58"/>
      <c r="E357" s="123"/>
      <c r="F357" s="45"/>
      <c r="G357" s="11"/>
      <c r="H357" s="10"/>
      <c r="I357" s="39"/>
      <c r="J357" s="219"/>
      <c r="K357" s="228"/>
      <c r="L357" s="122"/>
    </row>
    <row r="358" spans="2:12">
      <c r="B358" s="204"/>
      <c r="C358" s="58"/>
      <c r="D358" s="58"/>
      <c r="E358" s="123"/>
      <c r="F358" s="45"/>
      <c r="G358" s="11"/>
      <c r="H358" s="10"/>
      <c r="I358" s="39"/>
      <c r="J358" s="219"/>
      <c r="K358" s="228"/>
      <c r="L358" s="122"/>
    </row>
    <row r="359" spans="2:12">
      <c r="B359" s="204"/>
      <c r="C359" s="58"/>
      <c r="D359" s="58"/>
      <c r="E359" s="123"/>
      <c r="F359" s="45"/>
      <c r="G359" s="11"/>
      <c r="H359" s="10"/>
      <c r="I359" s="39"/>
      <c r="J359" s="219"/>
      <c r="K359" s="228"/>
      <c r="L359" s="122"/>
    </row>
    <row r="360" spans="2:12">
      <c r="B360" s="204"/>
      <c r="C360" s="58"/>
      <c r="D360" s="58"/>
      <c r="E360" s="123"/>
      <c r="F360" s="45"/>
      <c r="G360" s="11"/>
      <c r="H360" s="10"/>
      <c r="I360" s="39"/>
      <c r="J360" s="219"/>
      <c r="K360" s="228"/>
      <c r="L360" s="122"/>
    </row>
    <row r="361" spans="2:12">
      <c r="B361" s="220"/>
      <c r="C361" s="221"/>
      <c r="D361" s="221"/>
      <c r="E361" s="123"/>
      <c r="F361" s="45"/>
      <c r="G361" s="11"/>
      <c r="H361" s="10"/>
      <c r="I361" s="39"/>
      <c r="J361" s="219"/>
      <c r="K361" s="228"/>
      <c r="L361" s="122"/>
    </row>
    <row r="362" spans="2:12">
      <c r="B362" s="220"/>
      <c r="C362" s="221"/>
      <c r="D362" s="221"/>
      <c r="E362" s="123"/>
      <c r="F362" s="45"/>
      <c r="G362" s="11"/>
      <c r="H362" s="10"/>
      <c r="I362" s="39"/>
      <c r="J362" s="219"/>
      <c r="K362" s="228"/>
      <c r="L362" s="21">
        <f>K248</f>
        <v>11926142</v>
      </c>
    </row>
    <row r="363" spans="2:12">
      <c r="B363" s="220"/>
      <c r="C363" s="221"/>
      <c r="D363" s="221"/>
      <c r="E363" s="123"/>
      <c r="F363" s="45"/>
      <c r="G363" s="11"/>
      <c r="H363" s="10"/>
      <c r="I363" s="39"/>
      <c r="J363" s="219"/>
      <c r="K363" s="228"/>
      <c r="L363" s="122"/>
    </row>
    <row r="364" spans="2:12">
      <c r="B364" s="220"/>
      <c r="C364" s="221"/>
      <c r="D364" s="221"/>
      <c r="E364" s="123"/>
      <c r="F364" s="45"/>
      <c r="G364" s="11"/>
      <c r="H364" s="10"/>
      <c r="I364" s="39"/>
      <c r="J364" s="219"/>
      <c r="K364" s="228"/>
      <c r="L364" s="122"/>
    </row>
    <row r="365" spans="2:12">
      <c r="B365" s="220"/>
      <c r="C365" s="58"/>
      <c r="D365" s="58"/>
      <c r="E365" s="123"/>
      <c r="F365" s="45"/>
      <c r="G365" s="11"/>
      <c r="H365" s="10"/>
      <c r="I365" s="39"/>
      <c r="J365" s="219"/>
      <c r="K365" s="228"/>
      <c r="L365" s="122"/>
    </row>
    <row r="366" spans="2:12">
      <c r="B366" s="220"/>
      <c r="C366" s="58"/>
      <c r="D366" s="58"/>
      <c r="E366" s="123"/>
      <c r="F366" s="45"/>
      <c r="G366" s="11"/>
      <c r="H366" s="10"/>
      <c r="I366" s="39"/>
      <c r="J366" s="219"/>
      <c r="K366" s="228"/>
      <c r="L366" s="122"/>
    </row>
    <row r="367" spans="2:12">
      <c r="B367" s="204"/>
      <c r="C367" s="58"/>
      <c r="D367" s="58"/>
      <c r="E367" s="123"/>
      <c r="F367" s="45"/>
      <c r="G367" s="11"/>
      <c r="H367" s="10"/>
      <c r="I367" s="39"/>
      <c r="J367" s="219"/>
      <c r="K367" s="228"/>
      <c r="L367" s="122"/>
    </row>
    <row r="368" spans="2:12">
      <c r="B368" s="204"/>
      <c r="C368" s="58"/>
      <c r="D368" s="58"/>
      <c r="E368" s="123"/>
      <c r="F368" s="45"/>
      <c r="G368" s="11"/>
      <c r="H368" s="10"/>
      <c r="I368" s="39"/>
      <c r="J368" s="219"/>
      <c r="K368" s="228"/>
      <c r="L368" s="122"/>
    </row>
    <row r="369" spans="2:12">
      <c r="B369" s="204"/>
      <c r="C369" s="58"/>
      <c r="D369" s="58"/>
      <c r="E369" s="123"/>
      <c r="F369" s="45"/>
      <c r="G369" s="11"/>
      <c r="H369" s="10"/>
      <c r="I369" s="39"/>
      <c r="J369" s="219"/>
      <c r="K369" s="228"/>
      <c r="L369" s="122"/>
    </row>
    <row r="370" spans="2:12">
      <c r="B370" s="204"/>
      <c r="C370" s="58"/>
      <c r="D370" s="58"/>
      <c r="E370" s="123"/>
      <c r="F370" s="45"/>
      <c r="G370" s="11"/>
      <c r="H370" s="10"/>
      <c r="I370" s="39"/>
      <c r="J370" s="219"/>
      <c r="K370" s="228"/>
      <c r="L370" s="122"/>
    </row>
    <row r="371" spans="2:12">
      <c r="B371" s="204"/>
      <c r="C371" s="58"/>
      <c r="D371" s="58"/>
      <c r="E371" s="123"/>
      <c r="F371" s="45"/>
      <c r="G371" s="11"/>
      <c r="H371" s="10"/>
      <c r="I371" s="39"/>
      <c r="J371" s="219"/>
      <c r="K371" s="228"/>
      <c r="L371" s="122"/>
    </row>
    <row r="372" spans="2:12">
      <c r="B372" s="204"/>
      <c r="C372" s="58"/>
      <c r="D372" s="58"/>
      <c r="E372" s="123"/>
      <c r="F372" s="45"/>
      <c r="G372" s="11"/>
      <c r="H372" s="10"/>
      <c r="I372" s="39"/>
      <c r="J372" s="219"/>
      <c r="K372" s="228"/>
      <c r="L372" s="122"/>
    </row>
    <row r="373" spans="2:12">
      <c r="B373" s="204"/>
      <c r="C373" s="58"/>
      <c r="D373" s="58"/>
      <c r="E373" s="123"/>
      <c r="F373" s="45"/>
      <c r="G373" s="11"/>
      <c r="H373" s="10"/>
      <c r="I373" s="39"/>
      <c r="J373" s="219"/>
      <c r="K373" s="228"/>
      <c r="L373" s="122"/>
    </row>
    <row r="374" spans="2:12">
      <c r="B374" s="204"/>
      <c r="C374" s="58"/>
      <c r="D374" s="58"/>
      <c r="E374" s="123"/>
      <c r="F374" s="45"/>
      <c r="G374" s="11"/>
      <c r="H374" s="10"/>
      <c r="I374" s="39"/>
      <c r="J374" s="219"/>
      <c r="K374" s="228"/>
      <c r="L374" s="122"/>
    </row>
    <row r="375" spans="2:12">
      <c r="B375" s="204"/>
      <c r="C375" s="58"/>
      <c r="D375" s="58"/>
      <c r="E375" s="123"/>
      <c r="F375" s="45"/>
      <c r="G375" s="11"/>
      <c r="H375" s="10"/>
      <c r="I375" s="39"/>
      <c r="J375" s="219"/>
      <c r="K375" s="228"/>
      <c r="L375" s="122"/>
    </row>
    <row r="376" spans="2:12">
      <c r="B376" s="204"/>
      <c r="C376" s="58"/>
      <c r="D376" s="58"/>
      <c r="E376" s="123"/>
      <c r="F376" s="45"/>
      <c r="G376" s="11"/>
      <c r="H376" s="10"/>
      <c r="I376" s="39"/>
      <c r="J376" s="219"/>
      <c r="K376" s="228"/>
      <c r="L376" s="122"/>
    </row>
    <row r="377" spans="2:12">
      <c r="B377" s="204"/>
      <c r="C377" s="58"/>
      <c r="D377" s="58"/>
      <c r="E377" s="123"/>
      <c r="F377" s="45"/>
      <c r="G377" s="11"/>
      <c r="H377" s="10"/>
      <c r="I377" s="39"/>
      <c r="J377" s="219"/>
      <c r="K377" s="228"/>
      <c r="L377" s="122"/>
    </row>
    <row r="378" spans="2:12">
      <c r="B378" s="204"/>
      <c r="C378" s="58"/>
      <c r="D378" s="221"/>
      <c r="E378" s="123"/>
      <c r="F378" s="45"/>
      <c r="G378" s="11"/>
      <c r="H378" s="10"/>
      <c r="I378" s="39"/>
      <c r="J378" s="219"/>
      <c r="K378" s="228"/>
      <c r="L378" s="122"/>
    </row>
    <row r="379" spans="2:12">
      <c r="B379" s="204"/>
      <c r="C379" s="58"/>
      <c r="D379" s="221"/>
      <c r="E379" s="123"/>
      <c r="F379" s="45"/>
      <c r="G379" s="11"/>
      <c r="H379" s="10"/>
      <c r="I379" s="39"/>
      <c r="J379" s="219"/>
      <c r="K379" s="228"/>
      <c r="L379" s="122"/>
    </row>
    <row r="380" spans="2:12">
      <c r="B380" s="204"/>
      <c r="C380" s="58"/>
      <c r="D380" s="58"/>
      <c r="E380" s="123"/>
      <c r="F380" s="45"/>
      <c r="G380" s="11"/>
      <c r="H380" s="10"/>
      <c r="I380" s="39"/>
      <c r="J380" s="219"/>
      <c r="K380" s="228"/>
      <c r="L380" s="122"/>
    </row>
    <row r="381" spans="2:12" ht="15.75">
      <c r="B381" s="202"/>
      <c r="C381" s="135" t="s">
        <v>45</v>
      </c>
      <c r="D381" s="135" t="s">
        <v>46</v>
      </c>
      <c r="E381" s="137">
        <f>'PROYECCION 2020'!C32</f>
        <v>2000000</v>
      </c>
      <c r="F381" s="138">
        <f>SUM(F382:F400)</f>
        <v>0</v>
      </c>
      <c r="G381" s="138">
        <f>SUM(G382:G400)</f>
        <v>0</v>
      </c>
      <c r="H381" s="138">
        <f>SUM(H382:H400)</f>
        <v>0</v>
      </c>
      <c r="I381" s="139">
        <f>E381+F381+G381-H381</f>
        <v>2000000</v>
      </c>
      <c r="J381" s="393">
        <f>SUM(J382:J400)</f>
        <v>915600</v>
      </c>
      <c r="K381" s="227">
        <f>I381-J381</f>
        <v>1084400</v>
      </c>
      <c r="L381" s="244">
        <f>K381</f>
        <v>1084400</v>
      </c>
    </row>
    <row r="382" spans="2:12">
      <c r="B382" s="204">
        <v>43853</v>
      </c>
      <c r="C382" s="58"/>
      <c r="D382" s="58" t="s">
        <v>187</v>
      </c>
      <c r="E382" s="123"/>
      <c r="F382" s="124"/>
      <c r="G382" s="9"/>
      <c r="H382" s="10"/>
      <c r="I382" s="39"/>
      <c r="J382" s="622">
        <v>300000</v>
      </c>
      <c r="K382" s="228"/>
      <c r="L382" s="122"/>
    </row>
    <row r="383" spans="2:12">
      <c r="B383" s="204">
        <v>43895</v>
      </c>
      <c r="C383" s="58"/>
      <c r="D383" s="59" t="s">
        <v>210</v>
      </c>
      <c r="E383" s="123"/>
      <c r="F383" s="124"/>
      <c r="G383" s="9"/>
      <c r="H383" s="10"/>
      <c r="I383" s="39"/>
      <c r="J383" s="629">
        <v>222000</v>
      </c>
      <c r="K383" s="228"/>
      <c r="L383" s="122"/>
    </row>
    <row r="384" spans="2:12">
      <c r="B384" s="204">
        <v>43941</v>
      </c>
      <c r="C384" s="58"/>
      <c r="D384" s="58" t="s">
        <v>210</v>
      </c>
      <c r="E384" s="123"/>
      <c r="F384" s="124"/>
      <c r="G384" s="9"/>
      <c r="H384" s="10"/>
      <c r="I384" s="39"/>
      <c r="J384" s="622">
        <v>148600</v>
      </c>
      <c r="K384" s="228"/>
      <c r="L384" s="122"/>
    </row>
    <row r="385" spans="2:12">
      <c r="B385" s="204">
        <v>43992</v>
      </c>
      <c r="C385" s="58"/>
      <c r="D385" s="58" t="s">
        <v>210</v>
      </c>
      <c r="E385" s="123"/>
      <c r="F385" s="124"/>
      <c r="G385" s="9"/>
      <c r="H385" s="10"/>
      <c r="I385" s="39"/>
      <c r="J385" s="622">
        <v>25000</v>
      </c>
      <c r="K385" s="228"/>
      <c r="L385" s="122"/>
    </row>
    <row r="386" spans="2:12">
      <c r="B386" s="293">
        <v>44071</v>
      </c>
      <c r="C386" s="294"/>
      <c r="D386" s="294"/>
      <c r="E386" s="123"/>
      <c r="F386" s="124"/>
      <c r="G386" s="9"/>
      <c r="H386" s="10"/>
      <c r="I386" s="39"/>
      <c r="J386" s="622">
        <v>220000</v>
      </c>
      <c r="K386" s="228"/>
      <c r="L386" s="122"/>
    </row>
    <row r="387" spans="2:12">
      <c r="B387" s="204"/>
      <c r="C387" s="58"/>
      <c r="D387" s="58"/>
      <c r="E387" s="123"/>
      <c r="F387" s="124"/>
      <c r="G387" s="9"/>
      <c r="H387" s="10"/>
      <c r="I387" s="39"/>
      <c r="J387" s="219"/>
      <c r="K387" s="228"/>
      <c r="L387" s="122"/>
    </row>
    <row r="388" spans="2:12">
      <c r="B388" s="204"/>
      <c r="C388" s="58"/>
      <c r="D388" s="58"/>
      <c r="E388" s="123"/>
      <c r="F388" s="124"/>
      <c r="G388" s="9"/>
      <c r="H388" s="10"/>
      <c r="I388" s="39"/>
      <c r="J388" s="219"/>
      <c r="K388" s="228"/>
      <c r="L388" s="122"/>
    </row>
    <row r="389" spans="2:12">
      <c r="B389" s="204"/>
      <c r="C389" s="58"/>
      <c r="D389" s="58"/>
      <c r="E389" s="123"/>
      <c r="F389" s="124"/>
      <c r="G389" s="9"/>
      <c r="H389" s="10"/>
      <c r="I389" s="39"/>
      <c r="J389" s="219"/>
      <c r="K389" s="228"/>
      <c r="L389" s="122"/>
    </row>
    <row r="390" spans="2:12">
      <c r="B390" s="204"/>
      <c r="C390" s="58"/>
      <c r="D390" s="58"/>
      <c r="E390" s="123"/>
      <c r="F390" s="124"/>
      <c r="G390" s="9"/>
      <c r="H390" s="10"/>
      <c r="I390" s="39"/>
      <c r="J390" s="219"/>
      <c r="K390" s="228"/>
      <c r="L390" s="122"/>
    </row>
    <row r="391" spans="2:12">
      <c r="B391" s="204"/>
      <c r="C391" s="58"/>
      <c r="D391" s="58"/>
      <c r="E391" s="123"/>
      <c r="F391" s="124"/>
      <c r="G391" s="9"/>
      <c r="H391" s="10"/>
      <c r="I391" s="39"/>
      <c r="J391" s="219"/>
      <c r="K391" s="228"/>
      <c r="L391" s="122"/>
    </row>
    <row r="392" spans="2:12">
      <c r="B392" s="204"/>
      <c r="C392" s="58"/>
      <c r="D392" s="58"/>
      <c r="E392" s="123"/>
      <c r="F392" s="124"/>
      <c r="G392" s="9"/>
      <c r="H392" s="10"/>
      <c r="I392" s="39"/>
      <c r="J392" s="219"/>
      <c r="K392" s="228"/>
      <c r="L392" s="122"/>
    </row>
    <row r="393" spans="2:12">
      <c r="B393" s="204"/>
      <c r="C393" s="58"/>
      <c r="D393" s="58"/>
      <c r="E393" s="123"/>
      <c r="F393" s="124"/>
      <c r="G393" s="9"/>
      <c r="H393" s="10"/>
      <c r="I393" s="39"/>
      <c r="J393" s="219"/>
      <c r="K393" s="228"/>
      <c r="L393" s="122"/>
    </row>
    <row r="394" spans="2:12">
      <c r="B394" s="204"/>
      <c r="C394" s="58"/>
      <c r="D394" s="58"/>
      <c r="E394" s="123"/>
      <c r="F394" s="124"/>
      <c r="G394" s="9"/>
      <c r="H394" s="10"/>
      <c r="I394" s="39"/>
      <c r="J394" s="219"/>
      <c r="K394" s="228"/>
      <c r="L394" s="122"/>
    </row>
    <row r="395" spans="2:12">
      <c r="B395" s="204"/>
      <c r="C395" s="58"/>
      <c r="D395" s="58"/>
      <c r="E395" s="123"/>
      <c r="F395" s="124"/>
      <c r="G395" s="9"/>
      <c r="H395" s="10"/>
      <c r="I395" s="39"/>
      <c r="J395" s="219"/>
      <c r="K395" s="228"/>
      <c r="L395" s="122"/>
    </row>
    <row r="396" spans="2:12">
      <c r="B396" s="204"/>
      <c r="C396" s="58"/>
      <c r="D396" s="58"/>
      <c r="E396" s="123"/>
      <c r="F396" s="124"/>
      <c r="G396" s="9"/>
      <c r="H396" s="10"/>
      <c r="I396" s="39"/>
      <c r="J396" s="219"/>
      <c r="K396" s="228"/>
      <c r="L396" s="122"/>
    </row>
    <row r="397" spans="2:12">
      <c r="B397" s="204"/>
      <c r="C397" s="58"/>
      <c r="D397" s="58"/>
      <c r="E397" s="123"/>
      <c r="F397" s="124"/>
      <c r="G397" s="9"/>
      <c r="H397" s="10"/>
      <c r="I397" s="39"/>
      <c r="J397" s="219"/>
      <c r="K397" s="228"/>
      <c r="L397" s="122"/>
    </row>
    <row r="398" spans="2:12">
      <c r="B398" s="204"/>
      <c r="C398" s="58"/>
      <c r="D398" s="58"/>
      <c r="E398" s="123"/>
      <c r="F398" s="124"/>
      <c r="G398" s="9"/>
      <c r="H398" s="10"/>
      <c r="I398" s="39"/>
      <c r="J398" s="219"/>
      <c r="K398" s="228"/>
      <c r="L398" s="122"/>
    </row>
    <row r="399" spans="2:12">
      <c r="B399" s="204"/>
      <c r="C399" s="58"/>
      <c r="D399" s="58"/>
      <c r="E399" s="123"/>
      <c r="F399" s="124"/>
      <c r="G399" s="9"/>
      <c r="H399" s="10"/>
      <c r="I399" s="39"/>
      <c r="J399" s="219"/>
      <c r="K399" s="228"/>
      <c r="L399" s="122"/>
    </row>
    <row r="400" spans="2:12">
      <c r="B400" s="204"/>
      <c r="C400" s="58"/>
      <c r="D400" s="58"/>
      <c r="E400" s="123"/>
      <c r="F400" s="124"/>
      <c r="G400" s="9"/>
      <c r="H400" s="10"/>
      <c r="I400" s="39"/>
      <c r="J400" s="219"/>
      <c r="K400" s="228"/>
      <c r="L400" s="122"/>
    </row>
    <row r="401" spans="2:12" ht="15.75">
      <c r="B401" s="202"/>
      <c r="C401" s="135">
        <v>2020120204</v>
      </c>
      <c r="D401" s="135" t="s">
        <v>48</v>
      </c>
      <c r="E401" s="137">
        <f>'PROYECCION 2020'!C33</f>
        <v>11619000</v>
      </c>
      <c r="F401" s="138">
        <f>SUM(F402:F415)</f>
        <v>0</v>
      </c>
      <c r="G401" s="138">
        <f>SUM(G402:G415)</f>
        <v>0</v>
      </c>
      <c r="H401" s="138">
        <f>SUM(H402:H415)</f>
        <v>2500000</v>
      </c>
      <c r="I401" s="139">
        <f>E401+F401+G401-H401</f>
        <v>9119000</v>
      </c>
      <c r="J401" s="393">
        <f>SUM(J402:J415)</f>
        <v>6966000</v>
      </c>
      <c r="K401" s="227">
        <f>I401-J401</f>
        <v>2153000</v>
      </c>
      <c r="L401" s="244">
        <f>K401</f>
        <v>2153000</v>
      </c>
    </row>
    <row r="402" spans="2:12">
      <c r="B402" s="204">
        <v>43844</v>
      </c>
      <c r="C402" s="58"/>
      <c r="D402" s="58" t="s">
        <v>122</v>
      </c>
      <c r="E402" s="123"/>
      <c r="F402" s="124"/>
      <c r="G402" s="9"/>
      <c r="H402" s="10"/>
      <c r="I402" s="39"/>
      <c r="J402" s="622">
        <v>877000</v>
      </c>
      <c r="K402" s="228"/>
      <c r="L402" s="122"/>
    </row>
    <row r="403" spans="2:12">
      <c r="B403" s="204">
        <v>43878</v>
      </c>
      <c r="C403" s="58"/>
      <c r="D403" s="58" t="s">
        <v>122</v>
      </c>
      <c r="E403" s="123"/>
      <c r="F403" s="124"/>
      <c r="G403" s="9"/>
      <c r="H403" s="10"/>
      <c r="I403" s="39"/>
      <c r="J403" s="622">
        <v>319000</v>
      </c>
      <c r="K403" s="228"/>
      <c r="L403" s="122"/>
    </row>
    <row r="404" spans="2:12">
      <c r="B404" s="204">
        <v>43903</v>
      </c>
      <c r="C404" s="58"/>
      <c r="D404" s="58" t="s">
        <v>122</v>
      </c>
      <c r="E404" s="123"/>
      <c r="F404" s="124"/>
      <c r="G404" s="9"/>
      <c r="H404" s="10"/>
      <c r="I404" s="39"/>
      <c r="J404" s="622">
        <v>1268600</v>
      </c>
      <c r="K404" s="228"/>
      <c r="L404" s="122"/>
    </row>
    <row r="405" spans="2:12">
      <c r="B405" s="252">
        <v>43945</v>
      </c>
      <c r="C405" s="221"/>
      <c r="D405" s="254" t="s">
        <v>122</v>
      </c>
      <c r="E405" s="123"/>
      <c r="F405" s="124"/>
      <c r="G405" s="9"/>
      <c r="H405" s="10"/>
      <c r="I405" s="39"/>
      <c r="J405" s="622">
        <v>948900</v>
      </c>
      <c r="K405" s="228"/>
      <c r="L405" s="21"/>
    </row>
    <row r="406" spans="2:12">
      <c r="B406" s="204">
        <v>43977</v>
      </c>
      <c r="C406" s="58"/>
      <c r="D406" s="58" t="s">
        <v>122</v>
      </c>
      <c r="E406" s="123"/>
      <c r="F406" s="124"/>
      <c r="G406" s="9"/>
      <c r="H406" s="10"/>
      <c r="I406" s="39"/>
      <c r="J406" s="622">
        <v>404600</v>
      </c>
      <c r="K406" s="228"/>
      <c r="L406" s="122"/>
    </row>
    <row r="407" spans="2:12">
      <c r="B407" s="204">
        <v>44012</v>
      </c>
      <c r="C407" s="58"/>
      <c r="D407" s="58" t="s">
        <v>122</v>
      </c>
      <c r="E407" s="123"/>
      <c r="F407" s="124"/>
      <c r="G407" s="9"/>
      <c r="H407" s="10"/>
      <c r="I407" s="39"/>
      <c r="J407" s="622">
        <v>768000</v>
      </c>
      <c r="K407" s="228"/>
      <c r="L407" s="122"/>
    </row>
    <row r="408" spans="2:12">
      <c r="B408" s="204">
        <v>44043</v>
      </c>
      <c r="C408" s="58"/>
      <c r="D408" s="58" t="s">
        <v>122</v>
      </c>
      <c r="E408" s="123"/>
      <c r="F408" s="124"/>
      <c r="G408" s="9"/>
      <c r="H408" s="10"/>
      <c r="I408" s="39"/>
      <c r="J408" s="622">
        <v>634400</v>
      </c>
      <c r="K408" s="228"/>
      <c r="L408" s="122"/>
    </row>
    <row r="409" spans="2:12">
      <c r="B409" s="204">
        <v>44071</v>
      </c>
      <c r="C409" s="58"/>
      <c r="D409" s="58" t="s">
        <v>122</v>
      </c>
      <c r="E409" s="123"/>
      <c r="F409" s="124"/>
      <c r="G409" s="9"/>
      <c r="H409" s="10"/>
      <c r="I409" s="39"/>
      <c r="J409" s="627">
        <v>619000</v>
      </c>
      <c r="K409" s="228"/>
      <c r="L409" s="122"/>
    </row>
    <row r="410" spans="2:12">
      <c r="B410" s="204">
        <v>44102</v>
      </c>
      <c r="C410" s="58"/>
      <c r="D410" s="58" t="s">
        <v>122</v>
      </c>
      <c r="E410" s="123"/>
      <c r="F410" s="124"/>
      <c r="G410" s="9"/>
      <c r="H410" s="10"/>
      <c r="I410" s="39"/>
      <c r="J410" s="622">
        <v>695600</v>
      </c>
      <c r="K410" s="228"/>
      <c r="L410" s="122"/>
    </row>
    <row r="411" spans="2:12">
      <c r="B411" s="204">
        <v>44124</v>
      </c>
      <c r="C411" s="58"/>
      <c r="D411" s="58" t="s">
        <v>122</v>
      </c>
      <c r="E411" s="123"/>
      <c r="F411" s="124"/>
      <c r="G411" s="9"/>
      <c r="H411" s="10"/>
      <c r="I411" s="39"/>
      <c r="J411" s="622">
        <v>430900</v>
      </c>
      <c r="K411" s="228"/>
      <c r="L411" s="122"/>
    </row>
    <row r="412" spans="2:12">
      <c r="B412" s="220">
        <v>44109</v>
      </c>
      <c r="C412" s="221"/>
      <c r="D412" s="222" t="s">
        <v>307</v>
      </c>
      <c r="E412" s="123"/>
      <c r="F412" s="124"/>
      <c r="G412" s="9"/>
      <c r="H412" s="10">
        <v>2500000</v>
      </c>
      <c r="I412" s="39"/>
      <c r="J412" s="219"/>
      <c r="K412" s="228"/>
      <c r="L412" s="122"/>
    </row>
    <row r="413" spans="2:12">
      <c r="B413" s="252"/>
      <c r="C413" s="253"/>
      <c r="D413" s="254"/>
      <c r="E413" s="122"/>
      <c r="F413" s="223"/>
      <c r="G413" s="224"/>
      <c r="H413" s="251"/>
      <c r="I413" s="122"/>
      <c r="J413" s="219"/>
      <c r="K413" s="228"/>
      <c r="L413" s="122"/>
    </row>
    <row r="414" spans="2:12">
      <c r="B414" s="204"/>
      <c r="C414" s="58"/>
      <c r="D414" s="58"/>
      <c r="E414" s="123"/>
      <c r="F414" s="124"/>
      <c r="G414" s="9"/>
      <c r="H414" s="10"/>
      <c r="I414" s="39"/>
      <c r="J414" s="219"/>
      <c r="K414" s="228"/>
      <c r="L414" s="122"/>
    </row>
    <row r="415" spans="2:12">
      <c r="B415" s="204"/>
      <c r="C415" s="58"/>
      <c r="D415" s="58"/>
      <c r="E415" s="123"/>
      <c r="F415" s="124"/>
      <c r="G415" s="9"/>
      <c r="H415" s="10"/>
      <c r="I415" s="39"/>
      <c r="J415" s="219"/>
      <c r="K415" s="228"/>
      <c r="L415" s="122"/>
    </row>
    <row r="416" spans="2:12" ht="15">
      <c r="B416" s="213"/>
      <c r="C416" s="161" t="s">
        <v>49</v>
      </c>
      <c r="D416" s="161" t="s">
        <v>50</v>
      </c>
      <c r="E416" s="162">
        <f>'PROYECCION 2020'!C34</f>
        <v>8000000</v>
      </c>
      <c r="F416" s="163">
        <f>SUM(F417:F452)</f>
        <v>0</v>
      </c>
      <c r="G416" s="163">
        <f>SUM(G417:G452)</f>
        <v>0</v>
      </c>
      <c r="H416" s="163">
        <f>SUM(H417:H452)</f>
        <v>4000000</v>
      </c>
      <c r="I416" s="164">
        <f>E416+F416+G416-H416</f>
        <v>4000000</v>
      </c>
      <c r="J416" s="400">
        <f>SUM(J417:J452)</f>
        <v>3254332</v>
      </c>
      <c r="K416" s="234">
        <f>I416-J416</f>
        <v>745668</v>
      </c>
      <c r="L416" s="244">
        <f>K416</f>
        <v>745668</v>
      </c>
    </row>
    <row r="417" spans="2:12">
      <c r="B417" s="204">
        <v>43844</v>
      </c>
      <c r="C417" s="58"/>
      <c r="D417" s="58" t="s">
        <v>177</v>
      </c>
      <c r="E417" s="123"/>
      <c r="F417" s="124"/>
      <c r="G417" s="11"/>
      <c r="H417" s="10"/>
      <c r="I417" s="39"/>
      <c r="J417" s="622">
        <v>130983</v>
      </c>
      <c r="K417" s="228"/>
      <c r="L417" s="122"/>
    </row>
    <row r="418" spans="2:12">
      <c r="B418" s="204">
        <v>43858</v>
      </c>
      <c r="C418" s="58"/>
      <c r="D418" s="58" t="s">
        <v>189</v>
      </c>
      <c r="E418" s="123"/>
      <c r="F418" s="124"/>
      <c r="G418" s="11"/>
      <c r="H418" s="10"/>
      <c r="I418" s="39"/>
      <c r="J418" s="622">
        <v>190400</v>
      </c>
      <c r="K418" s="228"/>
      <c r="L418" s="122"/>
    </row>
    <row r="419" spans="2:12">
      <c r="B419" s="214">
        <v>43871</v>
      </c>
      <c r="C419" s="58"/>
      <c r="D419" s="58" t="s">
        <v>177</v>
      </c>
      <c r="E419" s="123"/>
      <c r="F419" s="124"/>
      <c r="G419" s="11"/>
      <c r="H419" s="10"/>
      <c r="I419" s="39"/>
      <c r="J419" s="622">
        <v>132369</v>
      </c>
      <c r="K419" s="228"/>
      <c r="L419" s="122"/>
    </row>
    <row r="420" spans="2:12">
      <c r="B420" s="204">
        <v>43892</v>
      </c>
      <c r="C420" s="58"/>
      <c r="D420" s="58" t="s">
        <v>189</v>
      </c>
      <c r="E420" s="123"/>
      <c r="F420" s="124"/>
      <c r="G420" s="11"/>
      <c r="H420" s="10"/>
      <c r="I420" s="39"/>
      <c r="J420" s="622">
        <v>190400</v>
      </c>
      <c r="K420" s="228"/>
      <c r="L420" s="122"/>
    </row>
    <row r="421" spans="2:12">
      <c r="B421" s="204">
        <v>43896</v>
      </c>
      <c r="C421" s="58"/>
      <c r="D421" s="58" t="s">
        <v>177</v>
      </c>
      <c r="E421" s="123"/>
      <c r="F421" s="124"/>
      <c r="G421" s="11"/>
      <c r="H421" s="10"/>
      <c r="I421" s="39"/>
      <c r="J421" s="622">
        <v>131221</v>
      </c>
      <c r="K421" s="228"/>
      <c r="L421" s="122"/>
    </row>
    <row r="422" spans="2:12">
      <c r="B422" s="204">
        <v>43921</v>
      </c>
      <c r="C422" s="58"/>
      <c r="D422" s="58" t="s">
        <v>189</v>
      </c>
      <c r="E422" s="123"/>
      <c r="F422" s="124"/>
      <c r="G422" s="11"/>
      <c r="H422" s="10"/>
      <c r="I422" s="39"/>
      <c r="J422" s="622">
        <v>190400</v>
      </c>
      <c r="K422" s="228"/>
      <c r="L422" s="122"/>
    </row>
    <row r="423" spans="2:12">
      <c r="B423" s="204">
        <v>43959</v>
      </c>
      <c r="C423" s="58"/>
      <c r="D423" s="58" t="s">
        <v>177</v>
      </c>
      <c r="E423" s="123"/>
      <c r="F423" s="124"/>
      <c r="G423" s="11"/>
      <c r="H423" s="10"/>
      <c r="I423" s="39"/>
      <c r="J423" s="622">
        <v>130388</v>
      </c>
      <c r="K423" s="228"/>
      <c r="L423" s="122"/>
    </row>
    <row r="424" spans="2:12">
      <c r="B424" s="204">
        <v>43951</v>
      </c>
      <c r="C424" s="58"/>
      <c r="D424" s="58" t="s">
        <v>189</v>
      </c>
      <c r="E424" s="123"/>
      <c r="F424" s="124"/>
      <c r="G424" s="11"/>
      <c r="H424" s="10"/>
      <c r="I424" s="39"/>
      <c r="J424" s="622">
        <v>190400</v>
      </c>
      <c r="K424" s="228"/>
      <c r="L424" s="122"/>
    </row>
    <row r="425" spans="2:12">
      <c r="B425" s="204">
        <v>43962</v>
      </c>
      <c r="C425" s="58"/>
      <c r="D425" s="58" t="s">
        <v>177</v>
      </c>
      <c r="E425" s="123"/>
      <c r="F425" s="124"/>
      <c r="G425" s="11"/>
      <c r="H425" s="10"/>
      <c r="I425" s="39"/>
      <c r="J425" s="622">
        <v>131816</v>
      </c>
      <c r="K425" s="228"/>
      <c r="L425" s="21"/>
    </row>
    <row r="426" spans="2:12">
      <c r="B426" s="204">
        <v>43977</v>
      </c>
      <c r="C426" s="58"/>
      <c r="D426" s="58" t="s">
        <v>189</v>
      </c>
      <c r="E426" s="123"/>
      <c r="F426" s="124"/>
      <c r="G426" s="11"/>
      <c r="H426" s="10"/>
      <c r="I426" s="39"/>
      <c r="J426" s="622">
        <v>190400</v>
      </c>
      <c r="K426" s="228"/>
      <c r="L426" s="21"/>
    </row>
    <row r="427" spans="2:12">
      <c r="B427" s="204">
        <v>44000</v>
      </c>
      <c r="C427" s="58"/>
      <c r="D427" s="58" t="s">
        <v>177</v>
      </c>
      <c r="E427" s="123"/>
      <c r="F427" s="124"/>
      <c r="G427" s="11"/>
      <c r="H427" s="10"/>
      <c r="I427" s="39"/>
      <c r="J427" s="622">
        <v>129817</v>
      </c>
      <c r="K427" s="228"/>
      <c r="L427" s="122"/>
    </row>
    <row r="428" spans="2:12">
      <c r="B428" s="204">
        <v>44012</v>
      </c>
      <c r="C428" s="58"/>
      <c r="D428" s="58" t="s">
        <v>189</v>
      </c>
      <c r="E428" s="123"/>
      <c r="F428" s="124"/>
      <c r="G428" s="11"/>
      <c r="H428" s="10"/>
      <c r="I428" s="39"/>
      <c r="J428" s="622">
        <v>190400</v>
      </c>
      <c r="K428" s="228"/>
      <c r="L428" s="122"/>
    </row>
    <row r="429" spans="2:12">
      <c r="B429" s="204">
        <v>44028</v>
      </c>
      <c r="C429" s="58"/>
      <c r="D429" s="58" t="s">
        <v>177</v>
      </c>
      <c r="E429" s="123"/>
      <c r="F429" s="124"/>
      <c r="G429" s="11"/>
      <c r="H429" s="10"/>
      <c r="I429" s="39"/>
      <c r="J429" s="636">
        <v>130031</v>
      </c>
      <c r="K429" s="228"/>
      <c r="L429" s="122"/>
    </row>
    <row r="430" spans="2:12">
      <c r="B430" s="204">
        <v>44029</v>
      </c>
      <c r="C430" s="58"/>
      <c r="D430" s="58" t="s">
        <v>189</v>
      </c>
      <c r="E430" s="123"/>
      <c r="F430" s="124"/>
      <c r="G430" s="11"/>
      <c r="H430" s="10"/>
      <c r="I430" s="39"/>
      <c r="J430" s="636">
        <v>190400</v>
      </c>
      <c r="K430" s="228"/>
      <c r="L430" s="122"/>
    </row>
    <row r="431" spans="2:12">
      <c r="B431" s="204">
        <v>44062</v>
      </c>
      <c r="C431" s="58"/>
      <c r="D431" s="58" t="s">
        <v>177</v>
      </c>
      <c r="E431" s="123"/>
      <c r="F431" s="124"/>
      <c r="G431" s="11"/>
      <c r="H431" s="10"/>
      <c r="I431" s="39"/>
      <c r="J431" s="622">
        <v>130031</v>
      </c>
      <c r="K431" s="228"/>
      <c r="L431" s="122"/>
    </row>
    <row r="432" spans="2:12">
      <c r="B432" s="204">
        <v>44071</v>
      </c>
      <c r="C432" s="58"/>
      <c r="D432" s="58" t="s">
        <v>189</v>
      </c>
      <c r="E432" s="123"/>
      <c r="F432" s="124"/>
      <c r="G432" s="11"/>
      <c r="H432" s="10"/>
      <c r="I432" s="39"/>
      <c r="J432" s="622">
        <v>190400</v>
      </c>
      <c r="K432" s="228"/>
      <c r="L432" s="122"/>
    </row>
    <row r="433" spans="2:12">
      <c r="B433" s="204">
        <v>44090</v>
      </c>
      <c r="C433" s="58"/>
      <c r="D433" s="58" t="s">
        <v>177</v>
      </c>
      <c r="E433" s="123"/>
      <c r="F433" s="124"/>
      <c r="G433" s="11"/>
      <c r="H433" s="10"/>
      <c r="I433" s="39"/>
      <c r="J433" s="622">
        <v>151838</v>
      </c>
      <c r="K433" s="228"/>
      <c r="L433" s="122"/>
    </row>
    <row r="434" spans="2:12">
      <c r="B434" s="204">
        <v>44098</v>
      </c>
      <c r="C434" s="58"/>
      <c r="D434" s="58" t="s">
        <v>189</v>
      </c>
      <c r="E434" s="123"/>
      <c r="F434" s="124"/>
      <c r="G434" s="11"/>
      <c r="H434" s="10"/>
      <c r="I434" s="39"/>
      <c r="J434" s="622">
        <v>190400</v>
      </c>
      <c r="K434" s="228"/>
      <c r="L434" s="122"/>
    </row>
    <row r="435" spans="2:12">
      <c r="B435" s="204">
        <v>44112</v>
      </c>
      <c r="C435" s="58"/>
      <c r="D435" s="58" t="s">
        <v>177</v>
      </c>
      <c r="E435" s="123"/>
      <c r="F435" s="124"/>
      <c r="G435" s="11"/>
      <c r="H435" s="10"/>
      <c r="I435" s="39"/>
      <c r="J435" s="392">
        <v>151838</v>
      </c>
      <c r="K435" s="228"/>
      <c r="L435" s="122"/>
    </row>
    <row r="436" spans="2:12">
      <c r="B436" s="203">
        <v>43757</v>
      </c>
      <c r="C436" s="177"/>
      <c r="D436" s="122" t="s">
        <v>189</v>
      </c>
      <c r="E436" s="123"/>
      <c r="F436" s="124"/>
      <c r="G436" s="11"/>
      <c r="H436" s="10"/>
      <c r="I436" s="39"/>
      <c r="J436" s="392">
        <v>190400</v>
      </c>
      <c r="K436" s="228"/>
      <c r="L436" s="122"/>
    </row>
    <row r="437" spans="2:12">
      <c r="B437" s="220">
        <v>44109</v>
      </c>
      <c r="C437" s="221"/>
      <c r="D437" s="222" t="s">
        <v>307</v>
      </c>
      <c r="E437" s="123"/>
      <c r="F437" s="124"/>
      <c r="G437" s="11"/>
      <c r="H437" s="10">
        <v>4000000</v>
      </c>
      <c r="I437" s="39"/>
      <c r="J437" s="399"/>
      <c r="K437" s="228"/>
      <c r="L437" s="122"/>
    </row>
    <row r="438" spans="2:12">
      <c r="B438" s="203"/>
      <c r="C438" s="58"/>
      <c r="D438" s="58"/>
      <c r="E438" s="123"/>
      <c r="F438" s="124"/>
      <c r="G438" s="11"/>
      <c r="H438" s="10"/>
      <c r="I438" s="39"/>
      <c r="J438" s="219"/>
      <c r="K438" s="228"/>
      <c r="L438" s="122"/>
    </row>
    <row r="439" spans="2:12">
      <c r="B439" s="204"/>
      <c r="C439" s="58"/>
      <c r="D439" s="58"/>
      <c r="E439" s="123"/>
      <c r="F439" s="124"/>
      <c r="G439" s="11"/>
      <c r="H439" s="10"/>
      <c r="I439" s="39"/>
      <c r="J439" s="399"/>
      <c r="K439" s="228"/>
      <c r="L439" s="122"/>
    </row>
    <row r="440" spans="2:12">
      <c r="B440" s="204"/>
      <c r="C440" s="58"/>
      <c r="D440" s="58"/>
      <c r="E440" s="123"/>
      <c r="F440" s="124"/>
      <c r="G440" s="11"/>
      <c r="H440" s="10"/>
      <c r="I440" s="39"/>
      <c r="J440" s="219"/>
      <c r="K440" s="228"/>
      <c r="L440" s="122"/>
    </row>
    <row r="441" spans="2:12">
      <c r="B441" s="204"/>
      <c r="C441" s="58"/>
      <c r="D441" s="58"/>
      <c r="E441" s="123"/>
      <c r="F441" s="124"/>
      <c r="G441" s="11"/>
      <c r="H441" s="10"/>
      <c r="I441" s="39"/>
      <c r="J441" s="219"/>
      <c r="K441" s="228"/>
      <c r="L441" s="122"/>
    </row>
    <row r="442" spans="2:12">
      <c r="B442" s="204"/>
      <c r="C442" s="58"/>
      <c r="D442" s="58"/>
      <c r="E442" s="123"/>
      <c r="F442" s="124"/>
      <c r="G442" s="11"/>
      <c r="H442" s="10"/>
      <c r="I442" s="39"/>
      <c r="J442" s="219"/>
      <c r="K442" s="228"/>
      <c r="L442" s="122"/>
    </row>
    <row r="443" spans="2:12">
      <c r="B443" s="204"/>
      <c r="C443" s="58"/>
      <c r="D443" s="58"/>
      <c r="E443" s="123"/>
      <c r="F443" s="124"/>
      <c r="G443" s="11"/>
      <c r="H443" s="10"/>
      <c r="I443" s="39"/>
      <c r="J443" s="219"/>
      <c r="K443" s="228"/>
      <c r="L443" s="122"/>
    </row>
    <row r="444" spans="2:12">
      <c r="B444" s="204"/>
      <c r="C444" s="58"/>
      <c r="D444" s="58"/>
      <c r="E444" s="123"/>
      <c r="F444" s="124"/>
      <c r="G444" s="11"/>
      <c r="H444" s="10"/>
      <c r="I444" s="39"/>
      <c r="J444" s="219"/>
      <c r="K444" s="228"/>
      <c r="L444" s="122"/>
    </row>
    <row r="445" spans="2:12">
      <c r="B445" s="204"/>
      <c r="C445" s="58"/>
      <c r="D445" s="58"/>
      <c r="E445" s="123"/>
      <c r="F445" s="124"/>
      <c r="G445" s="11"/>
      <c r="H445" s="10"/>
      <c r="I445" s="39"/>
      <c r="J445" s="219"/>
      <c r="K445" s="228"/>
      <c r="L445" s="122"/>
    </row>
    <row r="446" spans="2:12">
      <c r="B446" s="204"/>
      <c r="C446" s="58"/>
      <c r="D446" s="58"/>
      <c r="E446" s="123"/>
      <c r="F446" s="124"/>
      <c r="G446" s="11"/>
      <c r="H446" s="10"/>
      <c r="I446" s="39"/>
      <c r="J446" s="219"/>
      <c r="K446" s="228"/>
      <c r="L446" s="122"/>
    </row>
    <row r="447" spans="2:12">
      <c r="B447" s="220"/>
      <c r="C447" s="221"/>
      <c r="D447" s="221"/>
      <c r="E447" s="123"/>
      <c r="F447" s="124"/>
      <c r="G447" s="11"/>
      <c r="H447" s="10"/>
      <c r="I447" s="39"/>
      <c r="J447" s="219"/>
      <c r="K447" s="228"/>
      <c r="L447" s="122"/>
    </row>
    <row r="448" spans="2:12">
      <c r="B448" s="204"/>
      <c r="C448" s="58"/>
      <c r="D448" s="58"/>
      <c r="E448" s="123"/>
      <c r="F448" s="124"/>
      <c r="G448" s="11"/>
      <c r="H448" s="10"/>
      <c r="I448" s="39"/>
      <c r="J448" s="219"/>
      <c r="K448" s="228"/>
      <c r="L448" s="122"/>
    </row>
    <row r="449" spans="2:13">
      <c r="B449" s="204"/>
      <c r="C449" s="58"/>
      <c r="D449" s="58"/>
      <c r="E449" s="123"/>
      <c r="F449" s="124"/>
      <c r="G449" s="11"/>
      <c r="H449" s="10"/>
      <c r="I449" s="39"/>
      <c r="J449" s="219"/>
      <c r="K449" s="228"/>
      <c r="L449" s="122"/>
    </row>
    <row r="450" spans="2:13">
      <c r="B450" s="204"/>
      <c r="C450" s="58"/>
      <c r="D450" s="58"/>
      <c r="E450" s="123"/>
      <c r="F450" s="124"/>
      <c r="G450" s="11"/>
      <c r="H450" s="10"/>
      <c r="I450" s="39"/>
      <c r="J450" s="219"/>
      <c r="K450" s="228"/>
      <c r="L450" s="122"/>
    </row>
    <row r="451" spans="2:13">
      <c r="B451" s="204"/>
      <c r="C451" s="58"/>
      <c r="D451" s="58"/>
      <c r="E451" s="123"/>
      <c r="F451" s="124"/>
      <c r="G451" s="11"/>
      <c r="H451" s="10"/>
      <c r="I451" s="39"/>
      <c r="J451" s="219"/>
      <c r="K451" s="228"/>
      <c r="L451" s="122"/>
    </row>
    <row r="452" spans="2:13">
      <c r="B452" s="204"/>
      <c r="C452" s="58"/>
      <c r="D452" s="58"/>
      <c r="E452" s="123"/>
      <c r="F452" s="124"/>
      <c r="G452" s="11"/>
      <c r="H452" s="10"/>
      <c r="I452" s="39"/>
      <c r="J452" s="219"/>
      <c r="K452" s="228"/>
      <c r="L452" s="122"/>
    </row>
    <row r="453" spans="2:13" ht="15.75">
      <c r="B453" s="202"/>
      <c r="C453" s="135" t="s">
        <v>51</v>
      </c>
      <c r="D453" s="135" t="s">
        <v>52</v>
      </c>
      <c r="E453" s="137">
        <f>'PROYECCION 2020'!C35</f>
        <v>2500000</v>
      </c>
      <c r="F453" s="138">
        <f>SUM(F454:F483)</f>
        <v>0</v>
      </c>
      <c r="G453" s="138">
        <f>SUM(G454:G483)</f>
        <v>0</v>
      </c>
      <c r="H453" s="138">
        <f>SUM(H454:H482)</f>
        <v>800000</v>
      </c>
      <c r="I453" s="139">
        <f>E453+F453+G453-H453</f>
        <v>1700000</v>
      </c>
      <c r="J453" s="389">
        <f>SUM(J454:J482)</f>
        <v>998030</v>
      </c>
      <c r="K453" s="227">
        <f>I453-J453</f>
        <v>701970</v>
      </c>
      <c r="L453" s="244">
        <f>K453</f>
        <v>701970</v>
      </c>
    </row>
    <row r="454" spans="2:13">
      <c r="B454" s="204">
        <v>43844</v>
      </c>
      <c r="C454" s="58"/>
      <c r="D454" s="58" t="s">
        <v>180</v>
      </c>
      <c r="E454" s="123"/>
      <c r="F454" s="124"/>
      <c r="G454" s="9"/>
      <c r="H454" s="10"/>
      <c r="I454" s="39"/>
      <c r="J454" s="622">
        <v>58340</v>
      </c>
      <c r="K454" s="228"/>
      <c r="L454" s="122"/>
    </row>
    <row r="455" spans="2:13">
      <c r="B455" s="204">
        <v>43844</v>
      </c>
      <c r="C455" s="58"/>
      <c r="D455" s="58" t="s">
        <v>181</v>
      </c>
      <c r="E455" s="123"/>
      <c r="F455" s="124"/>
      <c r="G455" s="9"/>
      <c r="H455" s="10"/>
      <c r="I455" s="39"/>
      <c r="J455" s="622">
        <v>44100</v>
      </c>
      <c r="K455" s="228"/>
      <c r="L455" s="122"/>
    </row>
    <row r="456" spans="2:13">
      <c r="B456" s="204">
        <v>43878</v>
      </c>
      <c r="C456" s="58"/>
      <c r="D456" s="58" t="s">
        <v>181</v>
      </c>
      <c r="E456" s="123"/>
      <c r="F456" s="124"/>
      <c r="G456" s="9"/>
      <c r="H456" s="10"/>
      <c r="I456" s="39"/>
      <c r="J456" s="622">
        <v>29400</v>
      </c>
      <c r="K456" s="228"/>
      <c r="L456" s="122"/>
      <c r="M456" s="219"/>
    </row>
    <row r="457" spans="2:13">
      <c r="B457" s="204">
        <v>43878</v>
      </c>
      <c r="C457" s="58"/>
      <c r="D457" s="58" t="s">
        <v>180</v>
      </c>
      <c r="E457" s="123"/>
      <c r="F457" s="124"/>
      <c r="G457" s="9"/>
      <c r="H457" s="10"/>
      <c r="I457" s="39"/>
      <c r="J457" s="622">
        <v>58170</v>
      </c>
      <c r="K457" s="228"/>
      <c r="L457" s="122"/>
      <c r="M457" s="219"/>
    </row>
    <row r="458" spans="2:13">
      <c r="B458" s="204">
        <v>43903</v>
      </c>
      <c r="C458" s="58"/>
      <c r="D458" s="58" t="s">
        <v>181</v>
      </c>
      <c r="E458" s="123"/>
      <c r="F458" s="124"/>
      <c r="G458" s="9"/>
      <c r="H458" s="10"/>
      <c r="I458" s="39"/>
      <c r="J458" s="622">
        <v>31100</v>
      </c>
      <c r="K458" s="228"/>
      <c r="L458" s="122"/>
    </row>
    <row r="459" spans="2:13">
      <c r="B459" s="204">
        <v>43903</v>
      </c>
      <c r="C459" s="58"/>
      <c r="D459" s="58" t="s">
        <v>180</v>
      </c>
      <c r="E459" s="123"/>
      <c r="F459" s="124"/>
      <c r="G459" s="9"/>
      <c r="H459" s="10"/>
      <c r="I459" s="39"/>
      <c r="J459" s="622">
        <v>57430</v>
      </c>
      <c r="K459" s="228"/>
      <c r="L459" s="122"/>
    </row>
    <row r="460" spans="2:13">
      <c r="B460" s="252">
        <v>43945</v>
      </c>
      <c r="C460" s="221"/>
      <c r="D460" s="254" t="s">
        <v>181</v>
      </c>
      <c r="E460" s="123"/>
      <c r="F460" s="124"/>
      <c r="G460" s="9"/>
      <c r="H460" s="10"/>
      <c r="I460" s="39"/>
      <c r="J460" s="622">
        <v>31100</v>
      </c>
      <c r="K460" s="228"/>
      <c r="L460" s="122"/>
    </row>
    <row r="461" spans="2:13">
      <c r="B461" s="252">
        <v>43945</v>
      </c>
      <c r="C461" s="221"/>
      <c r="D461" s="254" t="s">
        <v>180</v>
      </c>
      <c r="E461" s="123"/>
      <c r="F461" s="124"/>
      <c r="G461" s="9"/>
      <c r="H461" s="10"/>
      <c r="I461" s="39"/>
      <c r="J461" s="622">
        <v>57510</v>
      </c>
      <c r="K461" s="228"/>
      <c r="L461" s="122"/>
    </row>
    <row r="462" spans="2:13">
      <c r="B462" s="204">
        <v>43977</v>
      </c>
      <c r="C462" s="58"/>
      <c r="D462" s="58" t="s">
        <v>180</v>
      </c>
      <c r="E462" s="123"/>
      <c r="F462" s="124"/>
      <c r="G462" s="9"/>
      <c r="H462" s="10"/>
      <c r="I462" s="39"/>
      <c r="J462" s="622">
        <v>55555</v>
      </c>
      <c r="K462" s="228"/>
      <c r="L462" s="122"/>
    </row>
    <row r="463" spans="2:13">
      <c r="B463" s="204">
        <v>43978</v>
      </c>
      <c r="C463" s="58"/>
      <c r="D463" s="58" t="s">
        <v>181</v>
      </c>
      <c r="E463" s="123"/>
      <c r="F463" s="124"/>
      <c r="G463" s="9"/>
      <c r="H463" s="10"/>
      <c r="I463" s="39"/>
      <c r="J463" s="622">
        <v>35400</v>
      </c>
      <c r="K463" s="228"/>
      <c r="L463" s="122"/>
    </row>
    <row r="464" spans="2:13">
      <c r="B464" s="204">
        <v>43999</v>
      </c>
      <c r="C464" s="58"/>
      <c r="D464" s="58" t="s">
        <v>180</v>
      </c>
      <c r="E464" s="123"/>
      <c r="F464" s="124"/>
      <c r="G464" s="9"/>
      <c r="H464" s="10"/>
      <c r="I464" s="39"/>
      <c r="J464" s="622">
        <v>57265</v>
      </c>
      <c r="K464" s="228"/>
      <c r="L464" s="122"/>
    </row>
    <row r="465" spans="2:12">
      <c r="B465" s="204">
        <v>43999</v>
      </c>
      <c r="C465" s="58"/>
      <c r="D465" s="58" t="s">
        <v>181</v>
      </c>
      <c r="E465" s="123"/>
      <c r="F465" s="124"/>
      <c r="G465" s="9"/>
      <c r="H465" s="10"/>
      <c r="I465" s="39"/>
      <c r="J465" s="622">
        <v>48100</v>
      </c>
      <c r="K465" s="228"/>
      <c r="L465" s="122"/>
    </row>
    <row r="466" spans="2:12">
      <c r="B466" s="204">
        <v>44028</v>
      </c>
      <c r="C466" s="58"/>
      <c r="D466" s="58" t="s">
        <v>181</v>
      </c>
      <c r="E466" s="123"/>
      <c r="F466" s="124"/>
      <c r="G466" s="9"/>
      <c r="H466" s="10"/>
      <c r="I466" s="39"/>
      <c r="J466" s="636">
        <v>35600</v>
      </c>
      <c r="K466" s="228"/>
      <c r="L466" s="122"/>
    </row>
    <row r="467" spans="2:12">
      <c r="B467" s="204">
        <v>44029</v>
      </c>
      <c r="C467" s="58"/>
      <c r="D467" s="58" t="s">
        <v>180</v>
      </c>
      <c r="E467" s="123"/>
      <c r="F467" s="124"/>
      <c r="G467" s="9"/>
      <c r="H467" s="10"/>
      <c r="I467" s="39"/>
      <c r="J467" s="636">
        <v>57360</v>
      </c>
      <c r="K467" s="228"/>
      <c r="L467" s="122"/>
    </row>
    <row r="468" spans="2:12">
      <c r="B468" s="204">
        <v>44075</v>
      </c>
      <c r="C468" s="58"/>
      <c r="D468" s="58" t="s">
        <v>180</v>
      </c>
      <c r="E468" s="123"/>
      <c r="F468" s="124"/>
      <c r="G468" s="9"/>
      <c r="H468" s="10"/>
      <c r="I468" s="39"/>
      <c r="J468" s="622">
        <v>52250</v>
      </c>
      <c r="K468" s="228"/>
      <c r="L468" s="122"/>
    </row>
    <row r="469" spans="2:12">
      <c r="B469" s="204">
        <v>44075</v>
      </c>
      <c r="C469" s="58"/>
      <c r="D469" s="58" t="s">
        <v>181</v>
      </c>
      <c r="E469" s="123"/>
      <c r="F469" s="124"/>
      <c r="G469" s="9"/>
      <c r="H469" s="10"/>
      <c r="I469" s="39"/>
      <c r="J469" s="622">
        <v>102900</v>
      </c>
      <c r="K469" s="228"/>
      <c r="L469" s="122"/>
    </row>
    <row r="470" spans="2:12">
      <c r="B470" s="204">
        <v>44102</v>
      </c>
      <c r="C470" s="58"/>
      <c r="D470" s="58" t="s">
        <v>180</v>
      </c>
      <c r="E470" s="123"/>
      <c r="F470" s="124"/>
      <c r="G470" s="9"/>
      <c r="H470" s="10"/>
      <c r="I470" s="39"/>
      <c r="J470" s="622">
        <v>52340</v>
      </c>
      <c r="K470" s="228"/>
      <c r="L470" s="122"/>
    </row>
    <row r="471" spans="2:12">
      <c r="B471" s="204">
        <v>44112</v>
      </c>
      <c r="C471" s="58"/>
      <c r="D471" s="58" t="s">
        <v>180</v>
      </c>
      <c r="E471" s="123"/>
      <c r="F471" s="124"/>
      <c r="G471" s="9"/>
      <c r="H471" s="10"/>
      <c r="I471" s="39"/>
      <c r="J471" s="622">
        <v>52110</v>
      </c>
      <c r="K471" s="228"/>
      <c r="L471" s="122"/>
    </row>
    <row r="472" spans="2:12">
      <c r="B472" s="204">
        <v>44112</v>
      </c>
      <c r="C472" s="58"/>
      <c r="D472" s="58" t="s">
        <v>181</v>
      </c>
      <c r="E472" s="123"/>
      <c r="F472" s="124"/>
      <c r="G472" s="9"/>
      <c r="H472" s="10"/>
      <c r="I472" s="39"/>
      <c r="J472" s="622">
        <v>82000</v>
      </c>
      <c r="K472" s="228"/>
      <c r="L472" s="122"/>
    </row>
    <row r="473" spans="2:12">
      <c r="B473" s="220">
        <v>44109</v>
      </c>
      <c r="C473" s="221"/>
      <c r="D473" s="222" t="s">
        <v>307</v>
      </c>
      <c r="E473" s="123"/>
      <c r="F473" s="124"/>
      <c r="G473" s="9"/>
      <c r="H473" s="10">
        <v>800000</v>
      </c>
      <c r="I473" s="39"/>
      <c r="J473" s="219"/>
      <c r="K473" s="228"/>
      <c r="L473" s="122"/>
    </row>
    <row r="474" spans="2:12">
      <c r="B474" s="206"/>
      <c r="C474" s="128"/>
      <c r="D474" s="128"/>
      <c r="E474" s="123"/>
      <c r="F474" s="124"/>
      <c r="G474" s="9"/>
      <c r="H474" s="10"/>
      <c r="I474" s="39"/>
      <c r="J474" s="219"/>
      <c r="K474" s="228"/>
      <c r="L474" s="122"/>
    </row>
    <row r="475" spans="2:12">
      <c r="B475" s="204"/>
      <c r="C475" s="58"/>
      <c r="D475" s="58"/>
      <c r="E475" s="123"/>
      <c r="F475" s="124"/>
      <c r="G475" s="9"/>
      <c r="H475" s="10"/>
      <c r="I475" s="39"/>
      <c r="J475" s="219"/>
      <c r="K475" s="228"/>
      <c r="L475" s="122"/>
    </row>
    <row r="476" spans="2:12">
      <c r="B476" s="204"/>
      <c r="C476" s="58"/>
      <c r="D476" s="58"/>
      <c r="E476" s="123"/>
      <c r="F476" s="124"/>
      <c r="G476" s="9"/>
      <c r="H476" s="10"/>
      <c r="I476" s="39"/>
      <c r="J476" s="219"/>
      <c r="K476" s="228"/>
      <c r="L476" s="122"/>
    </row>
    <row r="477" spans="2:12">
      <c r="B477" s="204"/>
      <c r="C477" s="58"/>
      <c r="D477" s="58"/>
      <c r="E477" s="123"/>
      <c r="F477" s="124"/>
      <c r="G477" s="9"/>
      <c r="H477" s="10"/>
      <c r="I477" s="39"/>
      <c r="J477" s="219"/>
      <c r="K477" s="228"/>
      <c r="L477" s="122"/>
    </row>
    <row r="478" spans="2:12">
      <c r="B478" s="204"/>
      <c r="C478" s="58"/>
      <c r="D478" s="58"/>
      <c r="E478" s="123"/>
      <c r="F478" s="124"/>
      <c r="G478" s="9"/>
      <c r="H478" s="10"/>
      <c r="I478" s="39"/>
      <c r="J478" s="219"/>
      <c r="K478" s="228"/>
      <c r="L478" s="122"/>
    </row>
    <row r="479" spans="2:12">
      <c r="B479" s="204"/>
      <c r="C479" s="58"/>
      <c r="D479" s="58"/>
      <c r="E479" s="123"/>
      <c r="F479" s="124"/>
      <c r="G479" s="9"/>
      <c r="H479" s="10"/>
      <c r="I479" s="39"/>
      <c r="J479" s="219"/>
      <c r="K479" s="228"/>
      <c r="L479" s="122"/>
    </row>
    <row r="480" spans="2:12">
      <c r="B480" s="204"/>
      <c r="C480" s="58"/>
      <c r="D480" s="58"/>
      <c r="E480" s="123"/>
      <c r="F480" s="124"/>
      <c r="G480" s="9"/>
      <c r="H480" s="10"/>
      <c r="I480" s="39"/>
      <c r="J480" s="219"/>
      <c r="K480" s="228"/>
      <c r="L480" s="122"/>
    </row>
    <row r="481" spans="2:12">
      <c r="B481" s="204"/>
      <c r="C481" s="58"/>
      <c r="D481" s="58"/>
      <c r="E481" s="123"/>
      <c r="F481" s="124"/>
      <c r="G481" s="9"/>
      <c r="H481" s="10"/>
      <c r="I481" s="39"/>
      <c r="J481" s="219"/>
      <c r="K481" s="228"/>
      <c r="L481" s="122"/>
    </row>
    <row r="482" spans="2:12">
      <c r="B482" s="204"/>
      <c r="C482" s="58"/>
      <c r="D482" s="58"/>
      <c r="E482" s="123"/>
      <c r="F482" s="124"/>
      <c r="G482" s="9"/>
      <c r="H482" s="10"/>
      <c r="I482" s="39"/>
      <c r="J482" s="219"/>
      <c r="K482" s="228"/>
      <c r="L482" s="122"/>
    </row>
    <row r="483" spans="2:12" ht="15.75">
      <c r="B483" s="202"/>
      <c r="C483" s="135" t="s">
        <v>53</v>
      </c>
      <c r="D483" s="135" t="s">
        <v>54</v>
      </c>
      <c r="E483" s="137">
        <f>'PROYECCION 2020'!C36</f>
        <v>1500000</v>
      </c>
      <c r="F483" s="138">
        <f>SUM(F484:F493)</f>
        <v>0</v>
      </c>
      <c r="G483" s="138">
        <f>SUM(G484:G493)</f>
        <v>0</v>
      </c>
      <c r="H483" s="138">
        <f>SUM(H484:H493)</f>
        <v>1000000</v>
      </c>
      <c r="I483" s="139">
        <f>E483+F483+G483-H483</f>
        <v>500000</v>
      </c>
      <c r="J483" s="393">
        <f>SUM(J484:J493)</f>
        <v>200000</v>
      </c>
      <c r="K483" s="227">
        <f>I483-J483</f>
        <v>300000</v>
      </c>
      <c r="L483" s="244">
        <f>K483</f>
        <v>300000</v>
      </c>
    </row>
    <row r="484" spans="2:12">
      <c r="B484" s="220">
        <v>44071</v>
      </c>
      <c r="C484" s="221"/>
      <c r="D484" s="222" t="s">
        <v>283</v>
      </c>
      <c r="E484" s="123"/>
      <c r="F484" s="124"/>
      <c r="G484" s="9"/>
      <c r="H484" s="10"/>
      <c r="I484" s="39"/>
      <c r="J484" s="622">
        <v>200000</v>
      </c>
      <c r="K484" s="228"/>
      <c r="L484" s="122"/>
    </row>
    <row r="485" spans="2:12">
      <c r="B485" s="206">
        <v>44109</v>
      </c>
      <c r="C485" s="128"/>
      <c r="D485" s="128" t="s">
        <v>309</v>
      </c>
      <c r="E485" s="123"/>
      <c r="F485" s="124"/>
      <c r="G485" s="9"/>
      <c r="H485" s="10">
        <v>1000000</v>
      </c>
      <c r="I485" s="39"/>
      <c r="J485" s="219"/>
      <c r="K485" s="228"/>
      <c r="L485" s="122"/>
    </row>
    <row r="486" spans="2:12">
      <c r="B486" s="204"/>
      <c r="C486" s="58"/>
      <c r="D486" s="59"/>
      <c r="E486" s="123"/>
      <c r="F486" s="124"/>
      <c r="G486" s="9"/>
      <c r="H486" s="10"/>
      <c r="I486" s="39"/>
      <c r="J486" s="219"/>
      <c r="K486" s="228"/>
      <c r="L486" s="122"/>
    </row>
    <row r="487" spans="2:12">
      <c r="B487" s="204"/>
      <c r="C487" s="58"/>
      <c r="D487" s="59"/>
      <c r="E487" s="123"/>
      <c r="F487" s="124"/>
      <c r="G487" s="9"/>
      <c r="H487" s="10"/>
      <c r="I487" s="39"/>
      <c r="J487" s="219"/>
      <c r="K487" s="228"/>
      <c r="L487" s="122"/>
    </row>
    <row r="488" spans="2:12">
      <c r="B488" s="204"/>
      <c r="C488" s="58"/>
      <c r="D488" s="59"/>
      <c r="E488" s="123"/>
      <c r="F488" s="124"/>
      <c r="G488" s="9"/>
      <c r="H488" s="10"/>
      <c r="I488" s="39"/>
      <c r="J488" s="219"/>
      <c r="K488" s="228"/>
      <c r="L488" s="122"/>
    </row>
    <row r="489" spans="2:12">
      <c r="B489" s="204"/>
      <c r="C489" s="58"/>
      <c r="D489" s="59"/>
      <c r="E489" s="123"/>
      <c r="F489" s="124"/>
      <c r="G489" s="9"/>
      <c r="H489" s="10"/>
      <c r="I489" s="39"/>
      <c r="J489" s="219"/>
      <c r="K489" s="228"/>
      <c r="L489" s="122"/>
    </row>
    <row r="490" spans="2:12">
      <c r="B490" s="204"/>
      <c r="C490" s="58"/>
      <c r="D490" s="59"/>
      <c r="E490" s="123"/>
      <c r="F490" s="124"/>
      <c r="G490" s="9"/>
      <c r="H490" s="10"/>
      <c r="I490" s="39"/>
      <c r="J490" s="219"/>
      <c r="K490" s="228"/>
      <c r="L490" s="122"/>
    </row>
    <row r="491" spans="2:12">
      <c r="B491" s="204"/>
      <c r="C491" s="58"/>
      <c r="D491" s="59"/>
      <c r="E491" s="123"/>
      <c r="F491" s="124"/>
      <c r="G491" s="9"/>
      <c r="H491" s="10"/>
      <c r="I491" s="39"/>
      <c r="J491" s="219"/>
      <c r="K491" s="228"/>
      <c r="L491" s="122"/>
    </row>
    <row r="492" spans="2:12">
      <c r="B492" s="204"/>
      <c r="C492" s="58"/>
      <c r="D492" s="59"/>
      <c r="E492" s="123"/>
      <c r="F492" s="124"/>
      <c r="G492" s="9"/>
      <c r="H492" s="10"/>
      <c r="I492" s="39"/>
      <c r="J492" s="219"/>
      <c r="K492" s="228"/>
      <c r="L492" s="122"/>
    </row>
    <row r="493" spans="2:12">
      <c r="B493" s="204"/>
      <c r="C493" s="58"/>
      <c r="D493" s="59"/>
      <c r="E493" s="123"/>
      <c r="F493" s="124"/>
      <c r="G493" s="9"/>
      <c r="H493" s="10"/>
      <c r="I493" s="39"/>
      <c r="J493" s="219"/>
      <c r="K493" s="228"/>
      <c r="L493" s="122"/>
    </row>
    <row r="494" spans="2:12" ht="15.75">
      <c r="B494" s="202"/>
      <c r="C494" s="135" t="s">
        <v>55</v>
      </c>
      <c r="D494" s="135" t="s">
        <v>56</v>
      </c>
      <c r="E494" s="137">
        <v>0</v>
      </c>
      <c r="F494" s="138"/>
      <c r="G494" s="139"/>
      <c r="H494" s="139"/>
      <c r="I494" s="139">
        <f>E494+F494+G494-H494</f>
        <v>0</v>
      </c>
      <c r="J494" s="389"/>
      <c r="K494" s="235"/>
      <c r="L494" s="122"/>
    </row>
    <row r="495" spans="2:12">
      <c r="B495" s="204"/>
      <c r="C495" s="58"/>
      <c r="D495" s="58"/>
      <c r="E495" s="123"/>
      <c r="F495" s="124"/>
      <c r="G495" s="9"/>
      <c r="H495" s="10"/>
      <c r="I495" s="39"/>
      <c r="J495" s="219"/>
      <c r="K495" s="228"/>
      <c r="L495" s="122"/>
    </row>
    <row r="496" spans="2:12">
      <c r="B496" s="204"/>
      <c r="C496" s="58"/>
      <c r="D496" s="58"/>
      <c r="E496" s="123"/>
      <c r="F496" s="124"/>
      <c r="G496" s="9"/>
      <c r="H496" s="10"/>
      <c r="I496" s="39"/>
      <c r="J496" s="219"/>
      <c r="K496" s="228"/>
      <c r="L496" s="122"/>
    </row>
    <row r="497" spans="2:13">
      <c r="B497" s="204"/>
      <c r="C497" s="58"/>
      <c r="D497" s="58"/>
      <c r="E497" s="123"/>
      <c r="F497" s="124"/>
      <c r="G497" s="9"/>
      <c r="H497" s="10"/>
      <c r="I497" s="39"/>
      <c r="J497" s="219"/>
      <c r="K497" s="228"/>
      <c r="L497" s="122"/>
    </row>
    <row r="498" spans="2:13" ht="15.75">
      <c r="B498" s="202"/>
      <c r="C498" s="135" t="s">
        <v>57</v>
      </c>
      <c r="D498" s="135" t="s">
        <v>58</v>
      </c>
      <c r="E498" s="137">
        <f>'PROYECCION 2020'!C38</f>
        <v>9400000</v>
      </c>
      <c r="F498" s="138">
        <f>SUM(F499:F506)</f>
        <v>0</v>
      </c>
      <c r="G498" s="138">
        <f>SUM(G499:G506)</f>
        <v>0</v>
      </c>
      <c r="H498" s="138">
        <f>SUM(H499:H506)</f>
        <v>6300000</v>
      </c>
      <c r="I498" s="139">
        <f>E498+F498+G498-H498</f>
        <v>3100000</v>
      </c>
      <c r="J498" s="393">
        <f>SUM(J499:J506)</f>
        <v>2481533</v>
      </c>
      <c r="K498" s="236">
        <f>I498-J498</f>
        <v>618467</v>
      </c>
      <c r="L498" s="122"/>
    </row>
    <row r="499" spans="2:13">
      <c r="B499" s="204"/>
      <c r="C499" s="58"/>
      <c r="D499" s="58" t="s">
        <v>244</v>
      </c>
      <c r="E499" s="123"/>
      <c r="F499" s="124"/>
      <c r="G499" s="11"/>
      <c r="H499" s="10"/>
      <c r="I499" s="39"/>
      <c r="J499" s="622">
        <v>1466865</v>
      </c>
      <c r="K499" s="228"/>
      <c r="L499" s="122"/>
    </row>
    <row r="500" spans="2:13">
      <c r="B500" s="204">
        <v>43986</v>
      </c>
      <c r="C500" s="58"/>
      <c r="D500" s="58" t="s">
        <v>252</v>
      </c>
      <c r="E500" s="123"/>
      <c r="F500" s="124"/>
      <c r="G500" s="11"/>
      <c r="H500" s="10"/>
      <c r="I500" s="39"/>
      <c r="J500" s="622">
        <v>1014668</v>
      </c>
      <c r="K500" s="228"/>
      <c r="L500" s="219"/>
      <c r="M500" s="191"/>
    </row>
    <row r="501" spans="2:13">
      <c r="B501" s="206">
        <v>44109</v>
      </c>
      <c r="C501" s="128"/>
      <c r="D501" s="128" t="s">
        <v>309</v>
      </c>
      <c r="E501" s="123"/>
      <c r="F501" s="124"/>
      <c r="G501" s="11"/>
      <c r="H501" s="10">
        <v>6300000</v>
      </c>
      <c r="I501" s="39"/>
      <c r="J501" s="219"/>
      <c r="K501" s="228"/>
      <c r="L501" s="122"/>
    </row>
    <row r="502" spans="2:13">
      <c r="B502" s="206"/>
      <c r="C502" s="128"/>
      <c r="D502" s="128"/>
      <c r="E502" s="123"/>
      <c r="F502" s="124"/>
      <c r="G502" s="11"/>
      <c r="H502" s="10"/>
      <c r="I502" s="39"/>
      <c r="J502" s="219"/>
      <c r="K502" s="228"/>
      <c r="L502" s="122"/>
    </row>
    <row r="503" spans="2:13">
      <c r="B503" s="206"/>
      <c r="C503" s="128"/>
      <c r="D503" s="128"/>
      <c r="E503" s="123"/>
      <c r="F503" s="124"/>
      <c r="G503" s="11"/>
      <c r="H503" s="10"/>
      <c r="I503" s="39"/>
      <c r="J503" s="219"/>
      <c r="K503" s="228"/>
      <c r="L503" s="122"/>
    </row>
    <row r="504" spans="2:13">
      <c r="B504" s="204"/>
      <c r="C504" s="58"/>
      <c r="D504" s="58"/>
      <c r="E504" s="123"/>
      <c r="F504" s="124"/>
      <c r="G504" s="11"/>
      <c r="H504" s="10"/>
      <c r="I504" s="39"/>
      <c r="J504" s="219"/>
      <c r="K504" s="228"/>
      <c r="L504" s="122"/>
    </row>
    <row r="505" spans="2:13">
      <c r="B505" s="204"/>
      <c r="C505" s="58"/>
      <c r="D505" s="58"/>
      <c r="E505" s="123"/>
      <c r="F505" s="124"/>
      <c r="G505" s="11"/>
      <c r="H505" s="10"/>
      <c r="I505" s="39"/>
      <c r="J505" s="219"/>
      <c r="K505" s="228"/>
      <c r="L505" s="122"/>
    </row>
    <row r="506" spans="2:13">
      <c r="B506" s="204"/>
      <c r="C506" s="58"/>
      <c r="D506" s="58"/>
      <c r="E506" s="123"/>
      <c r="F506" s="124"/>
      <c r="G506" s="11"/>
      <c r="H506" s="10"/>
      <c r="I506" s="39"/>
      <c r="J506" s="219"/>
      <c r="K506" s="228"/>
      <c r="L506" s="122"/>
    </row>
    <row r="507" spans="2:13" ht="15.75">
      <c r="B507" s="202"/>
      <c r="C507" s="135" t="s">
        <v>59</v>
      </c>
      <c r="D507" s="135" t="s">
        <v>60</v>
      </c>
      <c r="E507" s="137">
        <f>'PROYECCION 2020'!C39</f>
        <v>10000000</v>
      </c>
      <c r="F507" s="138">
        <f>SUM(F508:F516)</f>
        <v>0</v>
      </c>
      <c r="G507" s="138">
        <f>SUM(G508:G516)</f>
        <v>6500000</v>
      </c>
      <c r="H507" s="138">
        <f>SUM(H508:H516)</f>
        <v>0</v>
      </c>
      <c r="I507" s="139">
        <f>E507+F507+G507-H507</f>
        <v>16500000</v>
      </c>
      <c r="J507" s="393">
        <f>SUM(J508:J516)</f>
        <v>1500000</v>
      </c>
      <c r="K507" s="227">
        <f>I507-J507</f>
        <v>15000000</v>
      </c>
      <c r="L507" s="122"/>
    </row>
    <row r="508" spans="2:13">
      <c r="B508" s="204">
        <v>43906</v>
      </c>
      <c r="C508" s="58"/>
      <c r="D508" s="122" t="s">
        <v>215</v>
      </c>
      <c r="E508" s="123"/>
      <c r="F508" s="124"/>
      <c r="G508" s="9"/>
      <c r="H508" s="10"/>
      <c r="I508" s="39"/>
      <c r="J508" s="622">
        <v>1500000</v>
      </c>
      <c r="K508" s="228"/>
      <c r="L508" s="122"/>
    </row>
    <row r="509" spans="2:13">
      <c r="B509" s="204">
        <v>44109</v>
      </c>
      <c r="C509" s="58"/>
      <c r="D509" s="58" t="s">
        <v>308</v>
      </c>
      <c r="E509" s="123"/>
      <c r="F509" s="124"/>
      <c r="G509" s="9">
        <v>6500000</v>
      </c>
      <c r="H509" s="10"/>
      <c r="I509" s="39"/>
      <c r="J509" s="219"/>
      <c r="K509" s="228"/>
      <c r="L509" s="122"/>
    </row>
    <row r="510" spans="2:13">
      <c r="B510" s="204"/>
      <c r="C510" s="58"/>
      <c r="D510" s="59"/>
      <c r="E510" s="123"/>
      <c r="F510" s="124"/>
      <c r="G510" s="9"/>
      <c r="H510" s="10"/>
      <c r="I510" s="39"/>
      <c r="J510" s="219"/>
      <c r="K510" s="228"/>
      <c r="L510" s="122"/>
    </row>
    <row r="511" spans="2:13">
      <c r="B511" s="204"/>
      <c r="C511" s="58"/>
      <c r="D511" s="59"/>
      <c r="E511" s="123"/>
      <c r="F511" s="124"/>
      <c r="G511" s="9"/>
      <c r="H511" s="10"/>
      <c r="I511" s="39"/>
      <c r="J511" s="219"/>
      <c r="K511" s="228"/>
      <c r="L511" s="122"/>
    </row>
    <row r="512" spans="2:13">
      <c r="B512" s="204"/>
      <c r="C512" s="58"/>
      <c r="D512" s="59"/>
      <c r="E512" s="123"/>
      <c r="F512" s="124"/>
      <c r="G512" s="9"/>
      <c r="H512" s="10"/>
      <c r="I512" s="39"/>
      <c r="J512" s="219"/>
      <c r="K512" s="228"/>
      <c r="L512" s="122"/>
    </row>
    <row r="513" spans="2:12">
      <c r="B513" s="204"/>
      <c r="C513" s="58"/>
      <c r="D513" s="59"/>
      <c r="E513" s="123"/>
      <c r="F513" s="124"/>
      <c r="G513" s="9"/>
      <c r="H513" s="10"/>
      <c r="I513" s="39"/>
      <c r="J513" s="219"/>
      <c r="K513" s="228"/>
      <c r="L513" s="122"/>
    </row>
    <row r="514" spans="2:12">
      <c r="B514" s="204"/>
      <c r="C514" s="58"/>
      <c r="D514" s="59"/>
      <c r="E514" s="123"/>
      <c r="F514" s="124"/>
      <c r="G514" s="9"/>
      <c r="H514" s="10"/>
      <c r="I514" s="39"/>
      <c r="J514" s="219"/>
      <c r="K514" s="228"/>
      <c r="L514" s="122"/>
    </row>
    <row r="515" spans="2:12">
      <c r="B515" s="204"/>
      <c r="C515" s="58"/>
      <c r="D515" s="59"/>
      <c r="E515" s="123"/>
      <c r="F515" s="124"/>
      <c r="G515" s="9"/>
      <c r="H515" s="10"/>
      <c r="I515" s="39"/>
      <c r="J515" s="219"/>
      <c r="K515" s="228"/>
      <c r="L515" s="122"/>
    </row>
    <row r="516" spans="2:12">
      <c r="B516" s="204"/>
      <c r="C516" s="58"/>
      <c r="D516" s="59"/>
      <c r="E516" s="123"/>
      <c r="F516" s="124"/>
      <c r="G516" s="9"/>
      <c r="H516" s="10"/>
      <c r="I516" s="39"/>
      <c r="J516" s="219"/>
      <c r="K516" s="228"/>
      <c r="L516" s="122"/>
    </row>
    <row r="517" spans="2:12" ht="15.75">
      <c r="B517" s="202"/>
      <c r="C517" s="135">
        <v>2020120211</v>
      </c>
      <c r="D517" s="135" t="s">
        <v>62</v>
      </c>
      <c r="E517" s="137">
        <f>'PROYECCION 2020'!C40</f>
        <v>4000000</v>
      </c>
      <c r="F517" s="138">
        <f>SUM(F518:F523)</f>
        <v>0</v>
      </c>
      <c r="G517" s="138">
        <f>SUM(G518:G523)</f>
        <v>0</v>
      </c>
      <c r="H517" s="138">
        <f>SUM(H518:H523)</f>
        <v>0</v>
      </c>
      <c r="I517" s="139">
        <f>E517+F517+G517-H517</f>
        <v>4000000</v>
      </c>
      <c r="J517" s="393">
        <f>SUM(J518:J523)</f>
        <v>2439000</v>
      </c>
      <c r="K517" s="227">
        <f>I517-J517</f>
        <v>1561000</v>
      </c>
      <c r="L517" s="122"/>
    </row>
    <row r="518" spans="2:12">
      <c r="B518" s="204">
        <v>43894</v>
      </c>
      <c r="C518" s="58"/>
      <c r="D518" s="122"/>
      <c r="E518" s="123"/>
      <c r="F518" s="124"/>
      <c r="G518" s="9"/>
      <c r="H518" s="10"/>
      <c r="I518" s="39"/>
      <c r="J518" s="622">
        <v>1130000</v>
      </c>
      <c r="K518" s="228"/>
      <c r="L518" s="122"/>
    </row>
    <row r="519" spans="2:12" ht="14.25">
      <c r="B519" s="204"/>
      <c r="C519" s="58"/>
      <c r="D519"/>
      <c r="E519" s="123"/>
      <c r="F519" s="124"/>
      <c r="G519" s="9"/>
      <c r="H519" s="10"/>
      <c r="I519" s="39"/>
      <c r="J519" s="622">
        <v>1309000</v>
      </c>
      <c r="K519" s="228"/>
      <c r="L519" s="122"/>
    </row>
    <row r="520" spans="2:12">
      <c r="B520" s="204"/>
      <c r="C520" s="58"/>
      <c r="D520" s="58"/>
      <c r="E520" s="123"/>
      <c r="F520" s="124"/>
      <c r="G520" s="9"/>
      <c r="H520" s="10"/>
      <c r="I520" s="39"/>
      <c r="J520" s="219"/>
      <c r="K520" s="228"/>
      <c r="L520" s="122"/>
    </row>
    <row r="521" spans="2:12">
      <c r="B521" s="220"/>
      <c r="C521" s="221"/>
      <c r="D521" s="221"/>
      <c r="E521" s="288"/>
      <c r="F521" s="124"/>
      <c r="G521" s="9"/>
      <c r="H521" s="10"/>
      <c r="I521" s="289"/>
      <c r="J521" s="392"/>
      <c r="K521" s="228"/>
      <c r="L521" s="122"/>
    </row>
    <row r="522" spans="2:12">
      <c r="B522" s="220"/>
      <c r="C522" s="221"/>
      <c r="D522" s="221"/>
      <c r="E522" s="288"/>
      <c r="F522" s="124"/>
      <c r="G522" s="9"/>
      <c r="H522" s="10"/>
      <c r="I522" s="289"/>
      <c r="J522" s="392"/>
      <c r="K522" s="228"/>
      <c r="L522" s="122"/>
    </row>
    <row r="523" spans="2:12">
      <c r="B523" s="204"/>
      <c r="C523" s="58"/>
      <c r="D523" s="58"/>
      <c r="E523" s="123"/>
      <c r="F523" s="124"/>
      <c r="G523" s="9"/>
      <c r="H523" s="10"/>
      <c r="I523" s="39"/>
      <c r="J523" s="219"/>
      <c r="K523" s="228"/>
      <c r="L523" s="122"/>
    </row>
    <row r="524" spans="2:12" ht="15.75">
      <c r="B524" s="202"/>
      <c r="C524" s="135" t="s">
        <v>63</v>
      </c>
      <c r="D524" s="135" t="s">
        <v>64</v>
      </c>
      <c r="E524" s="137">
        <f>'PROYECCION 2020'!C41</f>
        <v>15000000</v>
      </c>
      <c r="F524" s="138">
        <f>SUM(F525:F529)</f>
        <v>0</v>
      </c>
      <c r="G524" s="138">
        <f>SUM(G525:G529)</f>
        <v>0</v>
      </c>
      <c r="H524" s="138">
        <f>SUM(H525:H529)</f>
        <v>0</v>
      </c>
      <c r="I524" s="139">
        <f>E524+F524+G524-H524</f>
        <v>15000000</v>
      </c>
      <c r="J524" s="393">
        <f>SUM(J525:J529)</f>
        <v>0</v>
      </c>
      <c r="K524" s="227">
        <f>I524-J524</f>
        <v>15000000</v>
      </c>
      <c r="L524" s="122"/>
    </row>
    <row r="525" spans="2:12">
      <c r="B525" s="204">
        <v>44109</v>
      </c>
      <c r="C525" s="58"/>
      <c r="D525" s="58" t="s">
        <v>308</v>
      </c>
      <c r="E525" s="123"/>
      <c r="F525" s="124"/>
      <c r="G525" s="9"/>
      <c r="H525" s="10"/>
      <c r="I525" s="39"/>
      <c r="J525" s="219"/>
      <c r="K525" s="228"/>
      <c r="L525" s="122"/>
    </row>
    <row r="526" spans="2:12">
      <c r="B526" s="220"/>
      <c r="C526" s="221"/>
      <c r="D526" s="221"/>
      <c r="E526" s="123"/>
      <c r="F526" s="124"/>
      <c r="G526" s="9"/>
      <c r="H526" s="10"/>
      <c r="I526" s="39"/>
      <c r="J526" s="219"/>
      <c r="K526" s="228"/>
      <c r="L526" s="122"/>
    </row>
    <row r="527" spans="2:12">
      <c r="B527" s="293"/>
      <c r="C527" s="294"/>
      <c r="D527" s="405"/>
      <c r="E527" s="123"/>
      <c r="F527" s="124"/>
      <c r="G527" s="9"/>
      <c r="H527" s="10"/>
      <c r="I527" s="39"/>
      <c r="J527" s="219"/>
      <c r="K527" s="228"/>
      <c r="L527" s="122"/>
    </row>
    <row r="528" spans="2:12">
      <c r="C528" s="221"/>
      <c r="D528" s="221"/>
      <c r="E528" s="123"/>
      <c r="F528" s="124"/>
      <c r="G528" s="9"/>
      <c r="H528" s="10"/>
      <c r="I528" s="39"/>
      <c r="J528" s="219"/>
      <c r="K528" s="228"/>
      <c r="L528" s="122"/>
    </row>
    <row r="529" spans="2:12">
      <c r="B529" s="204"/>
      <c r="C529" s="58"/>
      <c r="D529" s="58"/>
      <c r="E529" s="123"/>
      <c r="F529" s="124"/>
      <c r="G529" s="9"/>
      <c r="H529" s="10"/>
      <c r="I529" s="39"/>
      <c r="J529" s="219"/>
      <c r="K529" s="228"/>
      <c r="L529" s="122"/>
    </row>
    <row r="530" spans="2:12" ht="15.75">
      <c r="B530" s="202"/>
      <c r="C530" s="135">
        <v>2020120213</v>
      </c>
      <c r="D530" s="135" t="s">
        <v>65</v>
      </c>
      <c r="E530" s="137">
        <v>0</v>
      </c>
      <c r="F530" s="138">
        <f>SUM(F531:F534)</f>
        <v>0</v>
      </c>
      <c r="G530" s="138">
        <f>SUM(G531:G534)</f>
        <v>0</v>
      </c>
      <c r="H530" s="138">
        <f>SUM(H531:H534)</f>
        <v>0</v>
      </c>
      <c r="I530" s="139">
        <f>E530+F530+G530-H530</f>
        <v>0</v>
      </c>
      <c r="J530" s="393">
        <f>SUM(J531:J534)</f>
        <v>0</v>
      </c>
      <c r="K530" s="227">
        <f>I530-J530</f>
        <v>0</v>
      </c>
      <c r="L530" s="122"/>
    </row>
    <row r="531" spans="2:12">
      <c r="B531" s="204"/>
      <c r="C531" s="58"/>
      <c r="D531" s="122"/>
      <c r="E531" s="123"/>
      <c r="F531" s="124"/>
      <c r="G531" s="9"/>
      <c r="H531" s="10"/>
      <c r="I531" s="39"/>
      <c r="J531" s="219"/>
      <c r="K531" s="228"/>
      <c r="L531" s="122"/>
    </row>
    <row r="532" spans="2:12">
      <c r="B532" s="293"/>
      <c r="C532" s="294"/>
      <c r="D532" s="405"/>
      <c r="E532" s="123"/>
      <c r="F532" s="124"/>
      <c r="G532" s="9"/>
      <c r="H532" s="10"/>
      <c r="I532" s="39"/>
      <c r="J532" s="219"/>
      <c r="K532" s="228"/>
      <c r="L532" s="122"/>
    </row>
    <row r="533" spans="2:12">
      <c r="B533" s="204"/>
      <c r="C533" s="58"/>
      <c r="D533" s="58"/>
      <c r="E533" s="123"/>
      <c r="F533" s="124"/>
      <c r="G533" s="9"/>
      <c r="H533" s="10"/>
      <c r="I533" s="39"/>
      <c r="J533" s="219"/>
      <c r="K533" s="228"/>
      <c r="L533" s="122"/>
    </row>
    <row r="534" spans="2:12">
      <c r="B534" s="204"/>
      <c r="C534" s="58"/>
      <c r="D534" s="58"/>
      <c r="E534" s="123"/>
      <c r="F534" s="124"/>
      <c r="G534" s="9"/>
      <c r="H534" s="10"/>
      <c r="I534" s="39"/>
      <c r="J534" s="219"/>
      <c r="K534" s="228"/>
      <c r="L534" s="122"/>
    </row>
    <row r="535" spans="2:12" ht="15.75">
      <c r="B535" s="202"/>
      <c r="C535" s="135" t="s">
        <v>66</v>
      </c>
      <c r="D535" s="135" t="s">
        <v>67</v>
      </c>
      <c r="E535" s="137">
        <v>0</v>
      </c>
      <c r="F535" s="138">
        <f>SUM(F536:F538)</f>
        <v>0</v>
      </c>
      <c r="G535" s="138">
        <f>SUM(G536:G538)</f>
        <v>3500000</v>
      </c>
      <c r="H535" s="138">
        <f>SUM(H536:H538)</f>
        <v>0</v>
      </c>
      <c r="I535" s="139">
        <f>E535+F535+G535-H535</f>
        <v>3500000</v>
      </c>
      <c r="J535" s="393">
        <f>SUM(J536:J538)</f>
        <v>0</v>
      </c>
      <c r="K535" s="227">
        <f>I535-J535</f>
        <v>3500000</v>
      </c>
      <c r="L535" s="122"/>
    </row>
    <row r="536" spans="2:12">
      <c r="B536" s="204">
        <v>43868</v>
      </c>
      <c r="C536" s="58"/>
      <c r="D536" s="58" t="s">
        <v>209</v>
      </c>
      <c r="E536" s="123"/>
      <c r="F536" s="124"/>
      <c r="G536" s="9">
        <v>3500000</v>
      </c>
      <c r="H536" s="10"/>
      <c r="I536" s="39"/>
      <c r="J536" s="219"/>
      <c r="K536" s="228"/>
      <c r="L536" s="122"/>
    </row>
    <row r="537" spans="2:12">
      <c r="B537" s="204"/>
      <c r="C537" s="58"/>
      <c r="D537" s="58"/>
      <c r="E537" s="123"/>
      <c r="F537" s="124"/>
      <c r="G537" s="9"/>
      <c r="H537" s="10"/>
      <c r="I537" s="39"/>
      <c r="J537" s="219"/>
      <c r="K537" s="228"/>
      <c r="L537" s="122"/>
    </row>
    <row r="538" spans="2:12">
      <c r="B538" s="204"/>
      <c r="C538" s="58"/>
      <c r="D538" s="58"/>
      <c r="E538" s="123"/>
      <c r="F538" s="124"/>
      <c r="G538" s="9"/>
      <c r="H538" s="10"/>
      <c r="I538" s="39"/>
      <c r="J538" s="219"/>
      <c r="K538" s="228"/>
      <c r="L538" s="122"/>
    </row>
    <row r="539" spans="2:12" ht="15.75">
      <c r="B539" s="202"/>
      <c r="C539" s="135">
        <v>2020120215</v>
      </c>
      <c r="D539" s="135" t="s">
        <v>97</v>
      </c>
      <c r="E539" s="137">
        <f>'PROYECCION 2020'!C44</f>
        <v>1200000</v>
      </c>
      <c r="F539" s="138">
        <f>SUM(F540:F544)</f>
        <v>0</v>
      </c>
      <c r="G539" s="138">
        <f>SUM(G540:G541)</f>
        <v>0</v>
      </c>
      <c r="H539" s="138">
        <f>SUM(H540:H542)</f>
        <v>0</v>
      </c>
      <c r="I539" s="139">
        <f>E539+F539+G539-H539</f>
        <v>1200000</v>
      </c>
      <c r="J539" s="393">
        <f>SUM(J540:J541)</f>
        <v>0</v>
      </c>
      <c r="K539" s="227">
        <f>I539-J539</f>
        <v>1200000</v>
      </c>
      <c r="L539" s="122"/>
    </row>
    <row r="540" spans="2:12">
      <c r="B540" s="252"/>
      <c r="C540" s="253"/>
      <c r="D540" s="254"/>
      <c r="E540" s="123"/>
      <c r="F540" s="124"/>
      <c r="G540" s="11"/>
      <c r="H540" s="10"/>
      <c r="I540" s="39"/>
      <c r="J540" s="219"/>
      <c r="K540" s="228"/>
      <c r="L540" s="122"/>
    </row>
    <row r="541" spans="2:12">
      <c r="B541" s="220"/>
      <c r="C541" s="221"/>
      <c r="D541" s="221"/>
      <c r="E541" s="123"/>
      <c r="F541" s="124"/>
      <c r="G541" s="11"/>
      <c r="H541" s="10"/>
      <c r="I541" s="39"/>
      <c r="J541" s="219"/>
      <c r="K541" s="228"/>
      <c r="L541" s="122"/>
    </row>
    <row r="542" spans="2:12">
      <c r="B542" s="220"/>
      <c r="C542" s="221"/>
      <c r="D542" s="221"/>
      <c r="E542" s="123"/>
      <c r="F542" s="124"/>
      <c r="G542" s="11"/>
      <c r="H542" s="10"/>
      <c r="I542" s="39"/>
      <c r="J542" s="219"/>
      <c r="K542" s="228"/>
      <c r="L542" s="122"/>
    </row>
    <row r="543" spans="2:12" ht="18">
      <c r="B543" s="295"/>
      <c r="C543" s="135">
        <v>2020120216</v>
      </c>
      <c r="D543" s="183" t="s">
        <v>148</v>
      </c>
      <c r="E543" s="140">
        <f>'PROYECCION 2020'!C45</f>
        <v>1000000</v>
      </c>
      <c r="F543" s="140">
        <f>SUM(F544:F559)</f>
        <v>0</v>
      </c>
      <c r="G543" s="140">
        <f>SUM(G544:G559)</f>
        <v>0</v>
      </c>
      <c r="H543" s="140">
        <f>SUM(H544:H559)</f>
        <v>0</v>
      </c>
      <c r="I543" s="139">
        <f>E543+F543+G543-H543</f>
        <v>1000000</v>
      </c>
      <c r="J543" s="389">
        <f>SUM(J544:J559)</f>
        <v>0</v>
      </c>
      <c r="K543" s="296">
        <f>I543-J543</f>
        <v>1000000</v>
      </c>
      <c r="L543" s="122"/>
    </row>
    <row r="544" spans="2:12">
      <c r="B544" s="204"/>
      <c r="C544" s="58"/>
      <c r="D544" s="122"/>
      <c r="E544" s="123"/>
      <c r="F544" s="124"/>
      <c r="G544" s="11"/>
      <c r="H544" s="10"/>
      <c r="I544" s="39"/>
      <c r="J544" s="219"/>
      <c r="K544" s="228"/>
      <c r="L544" s="122"/>
    </row>
    <row r="545" spans="2:12">
      <c r="B545" s="252"/>
      <c r="C545" s="221"/>
      <c r="D545" s="254"/>
      <c r="E545" s="123"/>
      <c r="F545" s="124"/>
      <c r="G545" s="11"/>
      <c r="H545" s="10"/>
      <c r="I545" s="21"/>
      <c r="K545" s="228"/>
      <c r="L545" s="122"/>
    </row>
    <row r="546" spans="2:12">
      <c r="B546" s="252"/>
      <c r="C546" s="221"/>
      <c r="D546" s="254"/>
      <c r="E546" s="123"/>
      <c r="F546" s="124"/>
      <c r="G546" s="11"/>
      <c r="H546" s="10"/>
      <c r="I546" s="39"/>
      <c r="J546" s="219"/>
      <c r="K546" s="228"/>
      <c r="L546" s="122"/>
    </row>
    <row r="547" spans="2:12">
      <c r="B547" s="252"/>
      <c r="C547" s="221"/>
      <c r="D547" s="254"/>
      <c r="E547" s="123"/>
      <c r="F547" s="124"/>
      <c r="G547" s="11"/>
      <c r="H547" s="10"/>
      <c r="I547" s="39"/>
      <c r="J547" s="219"/>
      <c r="K547" s="228"/>
      <c r="L547" s="122"/>
    </row>
    <row r="548" spans="2:12">
      <c r="B548" s="252"/>
      <c r="C548" s="253"/>
      <c r="D548" s="254"/>
      <c r="E548" s="123"/>
      <c r="F548" s="124"/>
      <c r="G548" s="11"/>
      <c r="H548" s="10"/>
      <c r="I548" s="39"/>
      <c r="J548" s="219"/>
      <c r="K548" s="228"/>
      <c r="L548" s="122"/>
    </row>
    <row r="549" spans="2:12">
      <c r="B549" s="204"/>
      <c r="C549" s="58"/>
      <c r="D549" s="58"/>
      <c r="E549" s="123"/>
      <c r="F549" s="124"/>
      <c r="G549" s="11"/>
      <c r="H549" s="10"/>
      <c r="I549" s="39"/>
      <c r="J549" s="219"/>
      <c r="K549" s="228"/>
      <c r="L549" s="122"/>
    </row>
    <row r="550" spans="2:12">
      <c r="B550" s="252"/>
      <c r="C550" s="221"/>
      <c r="D550" s="254"/>
      <c r="E550" s="123"/>
      <c r="F550" s="124"/>
      <c r="G550" s="11"/>
      <c r="H550" s="10"/>
      <c r="I550" s="39"/>
      <c r="J550" s="219"/>
      <c r="K550" s="228"/>
      <c r="L550" s="122"/>
    </row>
    <row r="551" spans="2:12">
      <c r="B551" s="252"/>
      <c r="C551" s="221"/>
      <c r="D551" s="254"/>
      <c r="E551" s="123"/>
      <c r="F551" s="124"/>
      <c r="G551" s="11"/>
      <c r="H551" s="10"/>
      <c r="I551" s="39"/>
      <c r="J551" s="219"/>
      <c r="K551" s="228"/>
      <c r="L551" s="122"/>
    </row>
    <row r="552" spans="2:12">
      <c r="B552" s="252"/>
      <c r="C552" s="221"/>
      <c r="D552" s="221"/>
      <c r="E552" s="123"/>
      <c r="F552" s="124"/>
      <c r="G552" s="11"/>
      <c r="H552" s="10"/>
      <c r="I552" s="39"/>
      <c r="J552" s="219"/>
      <c r="K552" s="228"/>
      <c r="L552" s="122"/>
    </row>
    <row r="553" spans="2:12">
      <c r="B553" s="252"/>
      <c r="C553" s="221"/>
      <c r="D553" s="254"/>
      <c r="E553" s="123"/>
      <c r="F553" s="124"/>
      <c r="G553" s="11"/>
      <c r="H553" s="10"/>
      <c r="I553" s="39"/>
      <c r="J553" s="219"/>
      <c r="K553" s="228"/>
      <c r="L553" s="122"/>
    </row>
    <row r="554" spans="2:12">
      <c r="B554" s="252"/>
      <c r="C554" s="221"/>
      <c r="D554" s="254"/>
      <c r="E554" s="123"/>
      <c r="F554" s="124"/>
      <c r="G554" s="11"/>
      <c r="H554" s="10"/>
      <c r="I554" s="39"/>
      <c r="J554" s="219"/>
      <c r="K554" s="228"/>
      <c r="L554" s="122"/>
    </row>
    <row r="555" spans="2:12">
      <c r="B555" s="252"/>
      <c r="C555" s="221"/>
      <c r="D555" s="254"/>
      <c r="E555" s="123"/>
      <c r="F555" s="124"/>
      <c r="G555" s="11"/>
      <c r="H555" s="10"/>
      <c r="I555" s="39"/>
      <c r="J555" s="219"/>
      <c r="K555" s="228"/>
      <c r="L555" s="122"/>
    </row>
    <row r="556" spans="2:12">
      <c r="B556" s="203"/>
      <c r="C556" s="58"/>
      <c r="D556" s="122"/>
      <c r="E556" s="123"/>
      <c r="F556" s="124"/>
      <c r="G556" s="11"/>
      <c r="H556" s="10"/>
      <c r="I556" s="39"/>
      <c r="J556" s="219"/>
      <c r="K556" s="228"/>
      <c r="L556" s="122"/>
    </row>
    <row r="557" spans="2:12">
      <c r="B557" s="204"/>
      <c r="C557" s="58"/>
      <c r="D557" s="58"/>
      <c r="E557" s="123"/>
      <c r="F557" s="124"/>
      <c r="G557" s="11"/>
      <c r="H557" s="10"/>
      <c r="I557" s="39"/>
      <c r="J557" s="219"/>
      <c r="K557" s="228"/>
      <c r="L557" s="122"/>
    </row>
    <row r="558" spans="2:12">
      <c r="B558" s="204"/>
      <c r="C558" s="58"/>
      <c r="D558" s="58"/>
      <c r="E558" s="123"/>
      <c r="F558" s="124"/>
      <c r="G558" s="11"/>
      <c r="H558" s="10"/>
      <c r="I558" s="39"/>
      <c r="J558" s="219"/>
      <c r="K558" s="228"/>
      <c r="L558" s="122"/>
    </row>
    <row r="559" spans="2:12">
      <c r="B559" s="204"/>
      <c r="C559" s="58"/>
      <c r="D559" s="58"/>
      <c r="E559" s="123"/>
      <c r="F559" s="124"/>
      <c r="G559" s="11"/>
      <c r="H559" s="10"/>
      <c r="I559" s="39"/>
      <c r="J559" s="219"/>
      <c r="K559" s="228"/>
      <c r="L559" s="122"/>
    </row>
    <row r="560" spans="2:12" s="181" customFormat="1" ht="36">
      <c r="B560" s="215"/>
      <c r="C560" s="178" t="s">
        <v>68</v>
      </c>
      <c r="D560" s="179" t="s">
        <v>134</v>
      </c>
      <c r="E560" s="180">
        <f t="shared" ref="E560:J560" si="5">ROUND((E561+E571+E586+E603),0)</f>
        <v>83629741</v>
      </c>
      <c r="F560" s="180">
        <f t="shared" si="5"/>
        <v>0</v>
      </c>
      <c r="G560" s="180">
        <f t="shared" si="5"/>
        <v>0</v>
      </c>
      <c r="H560" s="180">
        <f t="shared" si="5"/>
        <v>13700000</v>
      </c>
      <c r="I560" s="180">
        <f t="shared" si="5"/>
        <v>69929741</v>
      </c>
      <c r="J560" s="401">
        <f t="shared" si="5"/>
        <v>45392645</v>
      </c>
      <c r="K560" s="237">
        <f>I560-J560</f>
        <v>24537096</v>
      </c>
      <c r="L560" s="248"/>
    </row>
    <row r="561" spans="2:14" ht="15">
      <c r="B561" s="213"/>
      <c r="C561" s="161" t="s">
        <v>70</v>
      </c>
      <c r="D561" s="161" t="s">
        <v>71</v>
      </c>
      <c r="E561" s="162">
        <f>'PROYECCION 2020'!C47</f>
        <v>16000083</v>
      </c>
      <c r="F561" s="163">
        <f>SUM(F562:F570)</f>
        <v>0</v>
      </c>
      <c r="G561" s="163">
        <f>SUM(G562:G570)</f>
        <v>0</v>
      </c>
      <c r="H561" s="163">
        <f>SUM(H562:H570)</f>
        <v>10000000</v>
      </c>
      <c r="I561" s="164">
        <f>E561+F561+G561-H561</f>
        <v>6000083</v>
      </c>
      <c r="J561" s="402">
        <f>SUM(J562:J570)</f>
        <v>1440737</v>
      </c>
      <c r="K561" s="234">
        <f>I561-J561</f>
        <v>4559346</v>
      </c>
      <c r="L561" s="122"/>
    </row>
    <row r="562" spans="2:14">
      <c r="B562" s="220">
        <v>43922</v>
      </c>
      <c r="C562" s="221"/>
      <c r="D562" s="222" t="s">
        <v>236</v>
      </c>
      <c r="E562" s="123"/>
      <c r="F562" s="124"/>
      <c r="G562" s="9"/>
      <c r="H562" s="10"/>
      <c r="I562" s="39"/>
      <c r="J562" s="622">
        <v>1030686</v>
      </c>
      <c r="K562" s="228"/>
      <c r="L562" s="122"/>
      <c r="M562" s="26"/>
    </row>
    <row r="563" spans="2:14">
      <c r="B563" s="252">
        <v>43922</v>
      </c>
      <c r="C563" s="221"/>
      <c r="D563" s="254" t="s">
        <v>235</v>
      </c>
      <c r="E563" s="123"/>
      <c r="F563" s="124"/>
      <c r="G563" s="9"/>
      <c r="H563" s="10"/>
      <c r="I563" s="39"/>
      <c r="J563" s="622">
        <v>334941</v>
      </c>
      <c r="K563" s="228"/>
      <c r="L563" s="122"/>
    </row>
    <row r="564" spans="2:14">
      <c r="B564" s="220">
        <v>44036</v>
      </c>
      <c r="C564" s="221"/>
      <c r="D564" s="221" t="s">
        <v>271</v>
      </c>
      <c r="E564" s="123"/>
      <c r="F564" s="124"/>
      <c r="G564" s="9"/>
      <c r="H564" s="10"/>
      <c r="I564" s="39"/>
      <c r="J564" s="622">
        <v>56688</v>
      </c>
      <c r="K564" s="228"/>
      <c r="L564" s="122"/>
    </row>
    <row r="565" spans="2:14">
      <c r="B565" s="252">
        <v>44036</v>
      </c>
      <c r="C565" s="221"/>
      <c r="D565" s="254" t="s">
        <v>272</v>
      </c>
      <c r="E565" s="123"/>
      <c r="F565" s="124"/>
      <c r="G565" s="9"/>
      <c r="H565" s="10"/>
      <c r="I565" s="39"/>
      <c r="J565" s="622">
        <v>18422</v>
      </c>
      <c r="K565" s="228"/>
      <c r="L565" s="122"/>
    </row>
    <row r="566" spans="2:14">
      <c r="B566" s="220">
        <v>44109</v>
      </c>
      <c r="C566" s="221"/>
      <c r="D566" s="222" t="s">
        <v>307</v>
      </c>
      <c r="E566" s="123"/>
      <c r="F566" s="124"/>
      <c r="G566" s="9"/>
      <c r="H566" s="10">
        <v>10000000</v>
      </c>
      <c r="I566" s="39"/>
      <c r="J566" s="219"/>
      <c r="K566" s="228"/>
      <c r="L566" s="122"/>
    </row>
    <row r="567" spans="2:14">
      <c r="B567" s="204"/>
      <c r="C567" s="58"/>
      <c r="D567" s="58"/>
      <c r="E567" s="123"/>
      <c r="F567" s="124"/>
      <c r="G567" s="9"/>
      <c r="H567" s="10"/>
      <c r="I567" s="39"/>
      <c r="J567" s="219"/>
      <c r="K567" s="228"/>
      <c r="L567" s="122"/>
    </row>
    <row r="568" spans="2:14">
      <c r="B568" s="204"/>
      <c r="C568" s="58"/>
      <c r="D568" s="58"/>
      <c r="E568" s="123"/>
      <c r="F568" s="124"/>
      <c r="G568" s="9"/>
      <c r="H568" s="10"/>
      <c r="I568" s="39"/>
      <c r="J568" s="219"/>
      <c r="K568" s="228"/>
      <c r="L568" s="122"/>
    </row>
    <row r="569" spans="2:14">
      <c r="B569" s="204"/>
      <c r="C569" s="58"/>
      <c r="D569" s="58"/>
      <c r="E569" s="123"/>
      <c r="F569" s="124"/>
      <c r="G569" s="9"/>
      <c r="H569" s="10"/>
      <c r="I569" s="39"/>
      <c r="J569" s="219"/>
      <c r="K569" s="228"/>
      <c r="L569" s="122"/>
    </row>
    <row r="570" spans="2:14">
      <c r="B570" s="204"/>
      <c r="C570" s="58"/>
      <c r="D570" s="58"/>
      <c r="E570" s="123"/>
      <c r="F570" s="124"/>
      <c r="G570" s="9"/>
      <c r="H570" s="10"/>
      <c r="I570" s="39"/>
      <c r="J570" s="219"/>
      <c r="K570" s="228"/>
      <c r="L570" s="122"/>
    </row>
    <row r="571" spans="2:14" ht="15">
      <c r="B571" s="213"/>
      <c r="C571" s="161">
        <v>2020110302</v>
      </c>
      <c r="D571" s="161" t="s">
        <v>73</v>
      </c>
      <c r="E571" s="162">
        <f>'PROYECCION 2020'!C48</f>
        <v>46429658</v>
      </c>
      <c r="F571" s="163">
        <f>SUM(F572:F585)</f>
        <v>0</v>
      </c>
      <c r="G571" s="163">
        <f>SUM(G572:G585)</f>
        <v>0</v>
      </c>
      <c r="H571" s="163">
        <f>SUM(H572:H585)</f>
        <v>0</v>
      </c>
      <c r="I571" s="164">
        <f>E571+F571+G571-H571</f>
        <v>46429658</v>
      </c>
      <c r="J571" s="402">
        <f>SUM(J572:J585)</f>
        <v>35025302</v>
      </c>
      <c r="K571" s="234">
        <f>I571-J571</f>
        <v>11404356</v>
      </c>
      <c r="L571" s="122"/>
    </row>
    <row r="572" spans="2:14">
      <c r="B572" s="204">
        <v>44188</v>
      </c>
      <c r="C572" s="58"/>
      <c r="D572" s="58" t="s">
        <v>104</v>
      </c>
      <c r="E572" s="123"/>
      <c r="F572" s="124"/>
      <c r="G572" s="9"/>
      <c r="H572" s="10"/>
      <c r="I572" s="39"/>
      <c r="J572" s="622">
        <v>3091802</v>
      </c>
      <c r="K572" s="238"/>
      <c r="L572" s="122"/>
    </row>
    <row r="573" spans="2:14">
      <c r="B573" s="252">
        <v>43887</v>
      </c>
      <c r="C573" s="221"/>
      <c r="D573" s="254" t="s">
        <v>105</v>
      </c>
      <c r="E573" s="123"/>
      <c r="F573" s="124"/>
      <c r="G573" s="9"/>
      <c r="H573" s="10"/>
      <c r="I573" s="39"/>
      <c r="J573" s="622">
        <v>3402640</v>
      </c>
      <c r="K573" s="238"/>
      <c r="L573" s="122"/>
    </row>
    <row r="574" spans="2:14">
      <c r="B574" s="204">
        <v>43914</v>
      </c>
      <c r="C574" s="58"/>
      <c r="D574" s="58" t="s">
        <v>106</v>
      </c>
      <c r="E574" s="123"/>
      <c r="F574" s="124"/>
      <c r="G574" s="9"/>
      <c r="H574" s="10"/>
      <c r="I574" s="39"/>
      <c r="J574" s="622">
        <v>3104879</v>
      </c>
      <c r="K574" s="238"/>
      <c r="L574" s="122"/>
    </row>
    <row r="575" spans="2:14">
      <c r="B575" s="252">
        <v>43945</v>
      </c>
      <c r="C575" s="221"/>
      <c r="D575" s="254" t="s">
        <v>107</v>
      </c>
      <c r="E575" s="123"/>
      <c r="F575" s="124"/>
      <c r="G575" s="9"/>
      <c r="H575" s="10"/>
      <c r="I575" s="39"/>
      <c r="J575" s="622">
        <v>3230596</v>
      </c>
      <c r="K575" s="238"/>
      <c r="L575" s="122"/>
    </row>
    <row r="576" spans="2:14">
      <c r="B576" s="252">
        <v>43978</v>
      </c>
      <c r="C576" s="221"/>
      <c r="D576" s="254" t="s">
        <v>243</v>
      </c>
      <c r="E576" s="123"/>
      <c r="F576" s="124"/>
      <c r="G576" s="9"/>
      <c r="H576" s="10"/>
      <c r="I576" s="39"/>
      <c r="J576" s="622">
        <v>3270091</v>
      </c>
      <c r="K576" s="631"/>
      <c r="L576" s="632"/>
      <c r="M576" s="642">
        <v>3270921</v>
      </c>
      <c r="N576" s="642">
        <f>M576-J576</f>
        <v>830</v>
      </c>
    </row>
    <row r="577" spans="2:14">
      <c r="B577" s="252">
        <v>44006</v>
      </c>
      <c r="C577" s="221"/>
      <c r="D577" s="254" t="s">
        <v>249</v>
      </c>
      <c r="E577" s="123"/>
      <c r="F577" s="124"/>
      <c r="G577" s="9"/>
      <c r="H577" s="10"/>
      <c r="I577" s="39"/>
      <c r="J577" s="622">
        <v>3270091</v>
      </c>
      <c r="K577" s="238"/>
      <c r="L577" s="122"/>
      <c r="M577" s="643"/>
      <c r="N577" s="643"/>
    </row>
    <row r="578" spans="2:14">
      <c r="B578" s="204">
        <v>44036</v>
      </c>
      <c r="C578" s="58"/>
      <c r="D578" s="58" t="s">
        <v>267</v>
      </c>
      <c r="E578" s="123"/>
      <c r="F578" s="124"/>
      <c r="G578" s="9"/>
      <c r="H578" s="10"/>
      <c r="I578" s="39"/>
      <c r="J578" s="622">
        <v>3359765</v>
      </c>
      <c r="K578" s="641"/>
      <c r="L578" s="418"/>
      <c r="M578" s="644">
        <v>3359789</v>
      </c>
      <c r="N578" s="642">
        <f>M578-J578</f>
        <v>24</v>
      </c>
    </row>
    <row r="579" spans="2:14">
      <c r="B579" s="204">
        <v>44046</v>
      </c>
      <c r="C579" s="58"/>
      <c r="D579" s="58" t="s">
        <v>278</v>
      </c>
      <c r="E579" s="123"/>
      <c r="F579" s="124"/>
      <c r="G579" s="9"/>
      <c r="H579" s="10"/>
      <c r="I579" s="39"/>
      <c r="J579" s="622">
        <v>38447</v>
      </c>
      <c r="K579" s="647"/>
      <c r="L579" s="254"/>
      <c r="M579" s="648"/>
      <c r="N579" s="646"/>
    </row>
    <row r="580" spans="2:14">
      <c r="B580" s="252">
        <v>44067</v>
      </c>
      <c r="C580" s="221"/>
      <c r="D580" s="222" t="s">
        <v>281</v>
      </c>
      <c r="E580" s="123"/>
      <c r="F580" s="124"/>
      <c r="G580" s="9"/>
      <c r="H580" s="10"/>
      <c r="I580" s="39"/>
      <c r="J580" s="622">
        <v>4786520</v>
      </c>
      <c r="K580" s="238"/>
      <c r="L580" s="122"/>
    </row>
    <row r="581" spans="2:14">
      <c r="B581" s="252">
        <v>44098</v>
      </c>
      <c r="C581" s="221"/>
      <c r="D581" s="222" t="s">
        <v>286</v>
      </c>
      <c r="E581" s="123"/>
      <c r="F581" s="124"/>
      <c r="G581" s="9"/>
      <c r="H581" s="10"/>
      <c r="I581" s="39"/>
      <c r="J581" s="622">
        <v>3734808</v>
      </c>
      <c r="K581" s="238"/>
      <c r="L581" s="122"/>
    </row>
    <row r="582" spans="2:14">
      <c r="B582" s="252"/>
      <c r="C582" s="221"/>
      <c r="D582" s="655" t="s">
        <v>292</v>
      </c>
      <c r="E582" s="412"/>
      <c r="F582" s="654"/>
      <c r="G582" s="415"/>
      <c r="H582" s="415"/>
      <c r="I582" s="415"/>
      <c r="J582" s="416">
        <f>N576+N578</f>
        <v>854</v>
      </c>
      <c r="K582" s="238"/>
      <c r="L582" s="122"/>
    </row>
    <row r="583" spans="2:14">
      <c r="B583" s="252" t="s">
        <v>301</v>
      </c>
      <c r="C583" s="253"/>
      <c r="D583" s="254" t="s">
        <v>299</v>
      </c>
      <c r="E583" s="123"/>
      <c r="F583" s="124"/>
      <c r="G583" s="9"/>
      <c r="H583" s="10"/>
      <c r="I583" s="39"/>
      <c r="J583" s="219">
        <v>3734809</v>
      </c>
      <c r="K583" s="238"/>
      <c r="L583" s="122"/>
    </row>
    <row r="584" spans="2:14">
      <c r="B584" s="204"/>
      <c r="C584" s="58"/>
      <c r="D584" s="58"/>
      <c r="E584" s="123"/>
      <c r="F584" s="124"/>
      <c r="G584" s="9"/>
      <c r="H584" s="10"/>
      <c r="I584" s="39"/>
      <c r="J584" s="219"/>
      <c r="K584" s="238"/>
      <c r="L584" s="249"/>
    </row>
    <row r="585" spans="2:14">
      <c r="B585" s="204"/>
      <c r="C585" s="58"/>
      <c r="D585" s="58"/>
      <c r="E585" s="123"/>
      <c r="F585" s="124"/>
      <c r="G585" s="9"/>
      <c r="H585" s="10"/>
      <c r="I585" s="39"/>
      <c r="J585" s="219"/>
      <c r="K585" s="238"/>
      <c r="L585" s="122"/>
    </row>
    <row r="586" spans="2:14" ht="15">
      <c r="B586" s="213"/>
      <c r="C586" s="161">
        <v>2020110304</v>
      </c>
      <c r="D586" s="161" t="s">
        <v>74</v>
      </c>
      <c r="E586" s="162">
        <f>'PROYECCION 2020'!C49</f>
        <v>14000000</v>
      </c>
      <c r="F586" s="163">
        <f>SUM(F587:F602)</f>
        <v>0</v>
      </c>
      <c r="G586" s="163">
        <f>SUM(G587:G602)</f>
        <v>0</v>
      </c>
      <c r="H586" s="163">
        <f>SUM(H587:H602)</f>
        <v>2700000</v>
      </c>
      <c r="I586" s="164">
        <f>E586+F586+G586-H586</f>
        <v>11300000</v>
      </c>
      <c r="J586" s="402">
        <f>SUM(J587:J602)</f>
        <v>8523344</v>
      </c>
      <c r="K586" s="234">
        <f>I586-J586</f>
        <v>2776656</v>
      </c>
      <c r="L586" s="122"/>
    </row>
    <row r="587" spans="2:14">
      <c r="B587" s="204">
        <v>44188</v>
      </c>
      <c r="C587" s="58"/>
      <c r="D587" s="58" t="s">
        <v>104</v>
      </c>
      <c r="E587" s="123"/>
      <c r="F587" s="124"/>
      <c r="G587" s="9"/>
      <c r="H587" s="10"/>
      <c r="I587" s="39"/>
      <c r="J587" s="622">
        <v>1141885</v>
      </c>
      <c r="K587" s="228"/>
      <c r="L587" s="122"/>
    </row>
    <row r="588" spans="2:14">
      <c r="B588" s="252">
        <v>43887</v>
      </c>
      <c r="C588" s="221"/>
      <c r="D588" s="254" t="s">
        <v>105</v>
      </c>
      <c r="E588" s="123"/>
      <c r="F588" s="124"/>
      <c r="G588" s="9"/>
      <c r="H588" s="10"/>
      <c r="I588" s="39"/>
      <c r="J588" s="622">
        <v>882093</v>
      </c>
      <c r="K588" s="228"/>
      <c r="L588" s="122"/>
    </row>
    <row r="589" spans="2:14">
      <c r="B589" s="204">
        <v>43914</v>
      </c>
      <c r="C589" s="58"/>
      <c r="D589" s="58" t="s">
        <v>106</v>
      </c>
      <c r="E589" s="123"/>
      <c r="F589" s="124"/>
      <c r="G589" s="9"/>
      <c r="H589" s="10"/>
      <c r="I589" s="39"/>
      <c r="J589" s="622">
        <v>654988</v>
      </c>
      <c r="K589" s="228"/>
      <c r="L589" s="122"/>
    </row>
    <row r="590" spans="2:14">
      <c r="B590" s="252">
        <v>43945</v>
      </c>
      <c r="C590" s="221"/>
      <c r="D590" s="254" t="s">
        <v>107</v>
      </c>
      <c r="E590" s="123"/>
      <c r="F590" s="124"/>
      <c r="G590" s="9"/>
      <c r="H590" s="10"/>
      <c r="I590" s="39"/>
      <c r="J590" s="622">
        <v>882093</v>
      </c>
      <c r="K590" s="228"/>
      <c r="L590" s="122"/>
    </row>
    <row r="591" spans="2:14">
      <c r="B591" s="252">
        <v>43978</v>
      </c>
      <c r="C591" s="221"/>
      <c r="D591" s="254" t="s">
        <v>243</v>
      </c>
      <c r="E591" s="123"/>
      <c r="F591" s="124"/>
      <c r="G591" s="9"/>
      <c r="H591" s="10"/>
      <c r="I591" s="39"/>
      <c r="J591" s="622">
        <v>882093</v>
      </c>
      <c r="K591" s="228"/>
      <c r="L591" s="122"/>
    </row>
    <row r="592" spans="2:14">
      <c r="B592" s="252">
        <v>44006</v>
      </c>
      <c r="C592" s="221"/>
      <c r="D592" s="254" t="s">
        <v>249</v>
      </c>
      <c r="E592" s="123"/>
      <c r="F592" s="124"/>
      <c r="G592" s="9"/>
      <c r="H592" s="10"/>
      <c r="I592" s="39"/>
      <c r="J592" s="622">
        <v>882093</v>
      </c>
      <c r="K592" s="228"/>
      <c r="L592" s="122"/>
    </row>
    <row r="593" spans="2:14">
      <c r="B593" s="204">
        <v>44036</v>
      </c>
      <c r="C593" s="58"/>
      <c r="D593" s="58" t="s">
        <v>267</v>
      </c>
      <c r="E593" s="123"/>
      <c r="F593" s="124"/>
      <c r="G593" s="9"/>
      <c r="H593" s="10"/>
      <c r="I593" s="39"/>
      <c r="J593" s="636">
        <v>690904</v>
      </c>
      <c r="K593" s="228"/>
      <c r="L593" s="122"/>
    </row>
    <row r="594" spans="2:14">
      <c r="B594" s="204">
        <v>44046</v>
      </c>
      <c r="C594" s="58"/>
      <c r="D594" s="58" t="s">
        <v>278</v>
      </c>
      <c r="E594" s="123"/>
      <c r="F594" s="124"/>
      <c r="G594" s="9"/>
      <c r="H594" s="10"/>
      <c r="I594" s="39"/>
      <c r="J594" s="622">
        <v>54247</v>
      </c>
      <c r="K594" s="515"/>
      <c r="L594" s="254"/>
      <c r="M594" s="290"/>
      <c r="N594" s="646"/>
    </row>
    <row r="595" spans="2:14">
      <c r="B595" s="252">
        <v>44067</v>
      </c>
      <c r="C595" s="221"/>
      <c r="D595" s="222" t="s">
        <v>281</v>
      </c>
      <c r="E595" s="123"/>
      <c r="F595" s="124"/>
      <c r="G595" s="9"/>
      <c r="H595" s="10"/>
      <c r="I595" s="39"/>
      <c r="J595" s="622">
        <v>1011710</v>
      </c>
      <c r="K595" s="228"/>
      <c r="L595" s="122"/>
    </row>
    <row r="596" spans="2:14">
      <c r="B596" s="252">
        <v>44098</v>
      </c>
      <c r="C596" s="221"/>
      <c r="D596" s="222" t="s">
        <v>286</v>
      </c>
      <c r="E596" s="123"/>
      <c r="F596" s="124"/>
      <c r="G596" s="9"/>
      <c r="H596" s="10"/>
      <c r="I596" s="39"/>
      <c r="J596" s="219">
        <v>720619</v>
      </c>
      <c r="K596" s="228"/>
      <c r="L596" s="122"/>
    </row>
    <row r="597" spans="2:14">
      <c r="B597" s="252" t="s">
        <v>301</v>
      </c>
      <c r="C597" s="253"/>
      <c r="D597" s="254" t="s">
        <v>299</v>
      </c>
      <c r="E597" s="123"/>
      <c r="F597" s="124"/>
      <c r="G597" s="9"/>
      <c r="H597" s="10"/>
      <c r="I597" s="39"/>
      <c r="J597" s="219">
        <v>720619</v>
      </c>
      <c r="K597" s="228"/>
      <c r="L597" s="122"/>
    </row>
    <row r="598" spans="2:14">
      <c r="B598" s="220">
        <v>44109</v>
      </c>
      <c r="C598" s="221"/>
      <c r="D598" s="222" t="s">
        <v>307</v>
      </c>
      <c r="E598" s="123"/>
      <c r="F598" s="124"/>
      <c r="G598" s="9"/>
      <c r="H598" s="10">
        <v>2700000</v>
      </c>
      <c r="I598" s="39"/>
      <c r="J598" s="219"/>
      <c r="K598" s="228"/>
      <c r="L598" s="21"/>
    </row>
    <row r="599" spans="2:14">
      <c r="B599" s="204"/>
      <c r="C599" s="58"/>
      <c r="D599" s="58"/>
      <c r="E599" s="123"/>
      <c r="F599" s="124"/>
      <c r="G599" s="9"/>
      <c r="H599" s="10"/>
      <c r="I599" s="39"/>
      <c r="J599" s="219"/>
      <c r="K599" s="228"/>
      <c r="L599" s="122"/>
    </row>
    <row r="600" spans="2:14">
      <c r="B600" s="204"/>
      <c r="C600" s="58"/>
      <c r="D600" s="58"/>
      <c r="E600" s="123"/>
      <c r="F600" s="124"/>
      <c r="G600" s="9"/>
      <c r="H600" s="10"/>
      <c r="I600" s="39"/>
      <c r="J600" s="219"/>
      <c r="K600" s="228"/>
      <c r="L600" s="122"/>
    </row>
    <row r="601" spans="2:14">
      <c r="B601" s="204"/>
      <c r="C601" s="58"/>
      <c r="D601" s="58"/>
      <c r="E601" s="123"/>
      <c r="F601" s="124"/>
      <c r="G601" s="9"/>
      <c r="H601" s="10"/>
      <c r="I601" s="39"/>
      <c r="J601" s="219"/>
      <c r="K601" s="228"/>
      <c r="L601" s="122"/>
    </row>
    <row r="602" spans="2:14">
      <c r="B602" s="204"/>
      <c r="C602" s="58"/>
      <c r="D602" s="58"/>
      <c r="E602" s="123"/>
      <c r="F602" s="124"/>
      <c r="G602" s="9"/>
      <c r="H602" s="10"/>
      <c r="I602" s="39"/>
      <c r="J602" s="219"/>
      <c r="K602" s="228"/>
      <c r="L602" s="122"/>
    </row>
    <row r="603" spans="2:14" ht="15">
      <c r="B603" s="213"/>
      <c r="C603" s="161">
        <v>2020110305</v>
      </c>
      <c r="D603" s="161" t="s">
        <v>75</v>
      </c>
      <c r="E603" s="162">
        <f>'PROYECCION 2020'!C50</f>
        <v>7200000</v>
      </c>
      <c r="F603" s="163">
        <f>SUM(F604:F612)</f>
        <v>0</v>
      </c>
      <c r="G603" s="163">
        <f>SUM(G604:G612)</f>
        <v>0</v>
      </c>
      <c r="H603" s="163">
        <f>SUM(H604:H612)</f>
        <v>1000000</v>
      </c>
      <c r="I603" s="164">
        <f>E603+F603+G603-H603</f>
        <v>6200000</v>
      </c>
      <c r="J603" s="402">
        <f>SUM(J604:J612)</f>
        <v>403262</v>
      </c>
      <c r="K603" s="234">
        <f>I603-J603</f>
        <v>5796738</v>
      </c>
      <c r="L603" s="122"/>
    </row>
    <row r="604" spans="2:14">
      <c r="B604" s="220">
        <v>43922</v>
      </c>
      <c r="C604" s="221"/>
      <c r="D604" s="222" t="s">
        <v>236</v>
      </c>
      <c r="E604" s="123"/>
      <c r="F604" s="124"/>
      <c r="G604" s="9"/>
      <c r="H604" s="10"/>
      <c r="I604" s="39"/>
      <c r="J604" s="622">
        <v>123682</v>
      </c>
      <c r="K604" s="228"/>
      <c r="L604" s="122"/>
    </row>
    <row r="605" spans="2:14">
      <c r="B605" s="252">
        <v>43922</v>
      </c>
      <c r="C605" s="221"/>
      <c r="D605" s="254" t="s">
        <v>235</v>
      </c>
      <c r="E605" s="123"/>
      <c r="F605" s="124"/>
      <c r="G605" s="9"/>
      <c r="H605" s="10"/>
      <c r="I605" s="39"/>
      <c r="J605" s="622">
        <v>40193</v>
      </c>
      <c r="K605" s="228"/>
      <c r="L605" s="122"/>
    </row>
    <row r="606" spans="2:14">
      <c r="B606" s="220">
        <v>44036</v>
      </c>
      <c r="C606" s="221"/>
      <c r="D606" s="221" t="s">
        <v>271</v>
      </c>
      <c r="E606" s="123"/>
      <c r="F606" s="124"/>
      <c r="G606" s="9"/>
      <c r="H606" s="10"/>
      <c r="I606" s="39"/>
      <c r="J606" s="622">
        <v>6803</v>
      </c>
      <c r="K606" s="228"/>
      <c r="L606" s="122"/>
    </row>
    <row r="607" spans="2:14">
      <c r="B607" s="252">
        <v>44036</v>
      </c>
      <c r="C607" s="221"/>
      <c r="D607" s="254" t="s">
        <v>272</v>
      </c>
      <c r="E607" s="123"/>
      <c r="F607" s="124"/>
      <c r="G607" s="9"/>
      <c r="H607" s="10"/>
      <c r="I607" s="39"/>
      <c r="J607" s="622">
        <v>2211</v>
      </c>
      <c r="K607" s="228"/>
      <c r="L607" s="122"/>
    </row>
    <row r="608" spans="2:14">
      <c r="B608" s="220">
        <v>44123</v>
      </c>
      <c r="C608" s="221"/>
      <c r="D608" s="222" t="s">
        <v>298</v>
      </c>
      <c r="E608" s="123"/>
      <c r="F608" s="124"/>
      <c r="G608" s="9"/>
      <c r="H608" s="10"/>
      <c r="I608" s="39"/>
      <c r="J608" s="622">
        <v>230373</v>
      </c>
      <c r="K608" s="228"/>
      <c r="L608" s="122"/>
    </row>
    <row r="609" spans="2:13">
      <c r="B609" s="220">
        <v>44109</v>
      </c>
      <c r="C609" s="221"/>
      <c r="D609" s="222" t="s">
        <v>307</v>
      </c>
      <c r="E609" s="288"/>
      <c r="F609" s="124"/>
      <c r="G609" s="9"/>
      <c r="H609" s="10">
        <v>1000000</v>
      </c>
      <c r="I609" s="289"/>
      <c r="J609" s="392"/>
      <c r="K609" s="228"/>
      <c r="L609" s="122"/>
    </row>
    <row r="610" spans="2:13">
      <c r="B610" s="204"/>
      <c r="C610" s="58"/>
      <c r="D610" s="58"/>
      <c r="E610" s="123"/>
      <c r="F610" s="124"/>
      <c r="G610" s="9"/>
      <c r="H610" s="10"/>
      <c r="I610" s="39"/>
      <c r="J610" s="219"/>
      <c r="K610" s="228"/>
      <c r="L610" s="122"/>
    </row>
    <row r="611" spans="2:13">
      <c r="B611" s="204"/>
      <c r="C611" s="58"/>
      <c r="D611" s="58"/>
      <c r="E611" s="123"/>
      <c r="F611" s="124"/>
      <c r="G611" s="9"/>
      <c r="H611" s="10"/>
      <c r="I611" s="39"/>
      <c r="J611" s="219"/>
      <c r="K611" s="228"/>
      <c r="L611" s="122"/>
    </row>
    <row r="612" spans="2:13">
      <c r="B612" s="204"/>
      <c r="C612" s="58"/>
      <c r="D612" s="58"/>
      <c r="E612" s="123"/>
      <c r="F612" s="124"/>
      <c r="G612" s="9"/>
      <c r="H612" s="10"/>
      <c r="I612" s="39"/>
      <c r="J612" s="219"/>
      <c r="K612" s="228"/>
      <c r="L612" s="122"/>
    </row>
    <row r="613" spans="2:13" s="181" customFormat="1" ht="36">
      <c r="B613" s="215"/>
      <c r="C613" s="178">
        <v>20201104</v>
      </c>
      <c r="D613" s="179" t="s">
        <v>135</v>
      </c>
      <c r="E613" s="180">
        <f>ROUND((E614+E627+E631+E647+E663+E679+E695+E710+E730+E747),0)</f>
        <v>177100000</v>
      </c>
      <c r="F613" s="180">
        <f>ROUND((F614+F627+F631+F647+F663+F679+F695+F710+F730+F747),0)</f>
        <v>0</v>
      </c>
      <c r="G613" s="180">
        <f>ROUND((G614+G627+G631+G647+G663+G679+G695+G710+G730+G747+G759),0)</f>
        <v>0</v>
      </c>
      <c r="H613" s="180">
        <f>ROUND((H614+H627+H631+H647+H663+H679+H695+H710+H730+H747),0)</f>
        <v>46000000</v>
      </c>
      <c r="I613" s="180">
        <f>ROUND((I614+I627+I631+I647+I663+I679+I695+I710+I730+I747),0)</f>
        <v>131100000</v>
      </c>
      <c r="J613" s="401">
        <f>ROUND((J614+J627+J631+J647+J663+J679+J695+J710+J730+J747),0)</f>
        <v>82653452</v>
      </c>
      <c r="K613" s="237">
        <f>I613-J613</f>
        <v>48446548</v>
      </c>
      <c r="L613" s="248"/>
    </row>
    <row r="614" spans="2:13" ht="15">
      <c r="B614" s="213"/>
      <c r="C614" s="182" t="s">
        <v>77</v>
      </c>
      <c r="D614" s="161" t="s">
        <v>149</v>
      </c>
      <c r="E614" s="162">
        <f>'PROYECCION 2020'!C52</f>
        <v>56000000</v>
      </c>
      <c r="F614" s="163">
        <f>SUM(F615:F626)</f>
        <v>0</v>
      </c>
      <c r="G614" s="163">
        <f>SUM(G615:G626)</f>
        <v>0</v>
      </c>
      <c r="H614" s="163">
        <f>SUM(H615:H626)</f>
        <v>46000000</v>
      </c>
      <c r="I614" s="164">
        <f>ROUND((E614+F614+G614-H614),0)</f>
        <v>10000000</v>
      </c>
      <c r="J614" s="402">
        <f>SUM(J615:J626)</f>
        <v>2021825</v>
      </c>
      <c r="K614" s="234">
        <f>I614-J614</f>
        <v>7978175</v>
      </c>
      <c r="L614" s="122"/>
    </row>
    <row r="615" spans="2:13">
      <c r="B615" s="204">
        <v>43850</v>
      </c>
      <c r="C615" s="134"/>
      <c r="D615" s="58" t="s">
        <v>182</v>
      </c>
      <c r="E615" s="123"/>
      <c r="F615" s="124"/>
      <c r="G615" s="9"/>
      <c r="H615" s="10">
        <v>46000000</v>
      </c>
      <c r="I615" s="39"/>
      <c r="J615" s="219"/>
      <c r="K615" s="228"/>
    </row>
    <row r="616" spans="2:13">
      <c r="B616" s="220">
        <v>43874</v>
      </c>
      <c r="C616" s="221"/>
      <c r="D616" s="222" t="s">
        <v>193</v>
      </c>
      <c r="E616" s="123"/>
      <c r="F616" s="124"/>
      <c r="G616" s="9"/>
      <c r="H616" s="10"/>
      <c r="I616" s="39"/>
      <c r="J616" s="198">
        <v>102050</v>
      </c>
      <c r="K616" s="228"/>
      <c r="L616" s="122"/>
      <c r="M616" s="219"/>
    </row>
    <row r="617" spans="2:13">
      <c r="B617" s="220">
        <v>44123</v>
      </c>
      <c r="C617" s="221"/>
      <c r="D617" s="222" t="s">
        <v>298</v>
      </c>
      <c r="E617" s="123"/>
      <c r="F617" s="124"/>
      <c r="G617" s="9"/>
      <c r="H617" s="10"/>
      <c r="I617" s="39"/>
      <c r="J617" s="219">
        <v>1919775</v>
      </c>
      <c r="K617" s="228"/>
      <c r="L617" s="122"/>
    </row>
    <row r="618" spans="2:13">
      <c r="B618" s="220"/>
      <c r="C618" s="221"/>
      <c r="D618" s="221"/>
      <c r="E618" s="123"/>
      <c r="F618" s="124"/>
      <c r="G618" s="9"/>
      <c r="H618" s="10"/>
      <c r="I618" s="39"/>
      <c r="J618" s="219"/>
      <c r="K618" s="228"/>
      <c r="L618" s="122"/>
    </row>
    <row r="619" spans="2:13">
      <c r="B619" s="293"/>
      <c r="C619" s="294"/>
      <c r="D619" s="405"/>
      <c r="E619" s="123"/>
      <c r="F619" s="124"/>
      <c r="G619" s="9"/>
      <c r="H619" s="10"/>
      <c r="I619" s="39"/>
      <c r="J619" s="219"/>
      <c r="K619" s="228"/>
      <c r="L619" s="122"/>
    </row>
    <row r="620" spans="2:13">
      <c r="B620" s="204"/>
      <c r="C620" s="58"/>
      <c r="D620" s="56"/>
      <c r="E620" s="123"/>
      <c r="F620" s="124"/>
      <c r="G620" s="9"/>
      <c r="H620" s="10"/>
      <c r="I620" s="39"/>
      <c r="J620" s="219"/>
      <c r="K620" s="228"/>
      <c r="L620" s="122"/>
    </row>
    <row r="621" spans="2:13">
      <c r="B621" s="204"/>
      <c r="C621" s="134"/>
      <c r="D621" s="58"/>
      <c r="E621" s="123"/>
      <c r="F621" s="124"/>
      <c r="G621" s="9"/>
      <c r="H621" s="10"/>
      <c r="I621" s="39"/>
      <c r="J621" s="219"/>
      <c r="K621" s="228"/>
      <c r="L621" s="122"/>
    </row>
    <row r="622" spans="2:13">
      <c r="B622" s="204"/>
      <c r="C622" s="134"/>
      <c r="D622" s="58"/>
      <c r="E622" s="123"/>
      <c r="F622" s="124"/>
      <c r="G622" s="9"/>
      <c r="H622" s="10"/>
      <c r="I622" s="39"/>
      <c r="J622" s="219"/>
      <c r="K622" s="228"/>
      <c r="L622" s="122"/>
    </row>
    <row r="623" spans="2:13">
      <c r="B623" s="204"/>
      <c r="C623" s="134"/>
      <c r="D623" s="58"/>
      <c r="E623" s="123"/>
      <c r="F623" s="124"/>
      <c r="G623" s="9"/>
      <c r="H623" s="10"/>
      <c r="I623" s="39"/>
      <c r="J623" s="219"/>
      <c r="K623" s="228"/>
      <c r="L623" s="122"/>
    </row>
    <row r="624" spans="2:13">
      <c r="B624" s="204"/>
      <c r="C624" s="134"/>
      <c r="D624" s="58"/>
      <c r="E624" s="123"/>
      <c r="F624" s="124"/>
      <c r="G624" s="9"/>
      <c r="H624" s="10"/>
      <c r="I624" s="39"/>
      <c r="J624" s="219"/>
      <c r="K624" s="228"/>
      <c r="L624" s="122"/>
    </row>
    <row r="625" spans="2:14">
      <c r="B625" s="204"/>
      <c r="C625" s="134"/>
      <c r="D625" s="58"/>
      <c r="E625" s="123"/>
      <c r="F625" s="124"/>
      <c r="G625" s="9"/>
      <c r="H625" s="10"/>
      <c r="I625" s="39"/>
      <c r="J625" s="219"/>
      <c r="K625" s="228"/>
      <c r="L625" s="122"/>
    </row>
    <row r="626" spans="2:14">
      <c r="B626" s="204"/>
      <c r="C626" s="134"/>
      <c r="D626" s="58"/>
      <c r="E626" s="123"/>
      <c r="F626" s="124"/>
      <c r="G626" s="9"/>
      <c r="H626" s="10"/>
      <c r="I626" s="39"/>
      <c r="J626" s="219"/>
      <c r="K626" s="228"/>
      <c r="L626" s="122"/>
    </row>
    <row r="627" spans="2:14" ht="15.75">
      <c r="B627" s="202"/>
      <c r="C627" s="135" t="s">
        <v>79</v>
      </c>
      <c r="D627" s="135" t="s">
        <v>73</v>
      </c>
      <c r="E627" s="137">
        <v>0</v>
      </c>
      <c r="F627" s="138"/>
      <c r="G627" s="139"/>
      <c r="H627" s="139"/>
      <c r="I627" s="139">
        <f>ROUND((E627+F627+G627-H627),0)</f>
        <v>0</v>
      </c>
      <c r="J627" s="389"/>
      <c r="K627" s="235"/>
      <c r="L627" s="122"/>
    </row>
    <row r="628" spans="2:14">
      <c r="B628" s="204"/>
      <c r="C628" s="58"/>
      <c r="D628" s="58"/>
      <c r="E628" s="123"/>
      <c r="F628" s="124"/>
      <c r="G628" s="9"/>
      <c r="H628" s="10"/>
      <c r="I628" s="39"/>
      <c r="J628" s="219"/>
      <c r="K628" s="228"/>
      <c r="L628" s="122"/>
    </row>
    <row r="629" spans="2:14">
      <c r="B629" s="204"/>
      <c r="C629" s="58"/>
      <c r="D629" s="58"/>
      <c r="E629" s="123"/>
      <c r="F629" s="124"/>
      <c r="G629" s="9"/>
      <c r="H629" s="10"/>
      <c r="I629" s="39"/>
      <c r="J629" s="219"/>
      <c r="K629" s="228"/>
      <c r="L629" s="122"/>
    </row>
    <row r="630" spans="2:14">
      <c r="B630" s="204"/>
      <c r="C630" s="58"/>
      <c r="D630" s="58"/>
      <c r="E630" s="123"/>
      <c r="F630" s="124"/>
      <c r="G630" s="9"/>
      <c r="H630" s="10"/>
      <c r="I630" s="39"/>
      <c r="J630" s="219"/>
      <c r="K630" s="228"/>
      <c r="L630" s="122"/>
    </row>
    <row r="631" spans="2:14" ht="15.75">
      <c r="B631" s="202"/>
      <c r="C631" s="135" t="s">
        <v>80</v>
      </c>
      <c r="D631" s="135" t="s">
        <v>81</v>
      </c>
      <c r="E631" s="137">
        <f>'PROYECCION 2020'!C54</f>
        <v>3900000</v>
      </c>
      <c r="F631" s="138">
        <f>SUM(F632:F646)</f>
        <v>0</v>
      </c>
      <c r="G631" s="138">
        <f>SUM(G632:G646)</f>
        <v>0</v>
      </c>
      <c r="H631" s="138">
        <f>SUM(H632:H646)</f>
        <v>0</v>
      </c>
      <c r="I631" s="139">
        <f>ROUND((E631+F631+G631-H631),0)</f>
        <v>3900000</v>
      </c>
      <c r="J631" s="389">
        <f>SUM(J632:J646)</f>
        <v>2133400</v>
      </c>
      <c r="K631" s="227">
        <f>I631-J631</f>
        <v>1766600</v>
      </c>
      <c r="L631" s="122"/>
    </row>
    <row r="632" spans="2:14">
      <c r="B632" s="204">
        <v>44188</v>
      </c>
      <c r="C632" s="58"/>
      <c r="D632" s="58" t="s">
        <v>104</v>
      </c>
      <c r="E632" s="123"/>
      <c r="F632" s="124"/>
      <c r="G632" s="9"/>
      <c r="H632" s="10"/>
      <c r="I632" s="39"/>
      <c r="J632" s="622">
        <v>182400</v>
      </c>
      <c r="K632" s="228"/>
      <c r="L632" s="122"/>
    </row>
    <row r="633" spans="2:14">
      <c r="B633" s="252">
        <v>43887</v>
      </c>
      <c r="C633" s="221"/>
      <c r="D633" s="254" t="s">
        <v>105</v>
      </c>
      <c r="E633" s="123"/>
      <c r="F633" s="124"/>
      <c r="G633" s="9"/>
      <c r="H633" s="10"/>
      <c r="I633" s="39"/>
      <c r="J633" s="622">
        <v>209300</v>
      </c>
      <c r="K633" s="228"/>
      <c r="L633" s="122"/>
    </row>
    <row r="634" spans="2:14">
      <c r="B634" s="204">
        <v>43914</v>
      </c>
      <c r="C634" s="58"/>
      <c r="D634" s="58" t="s">
        <v>106</v>
      </c>
      <c r="E634" s="123"/>
      <c r="F634" s="124"/>
      <c r="G634" s="9"/>
      <c r="H634" s="10"/>
      <c r="I634" s="39"/>
      <c r="J634" s="622">
        <v>191100</v>
      </c>
      <c r="K634" s="228"/>
      <c r="L634" s="122"/>
    </row>
    <row r="635" spans="2:14">
      <c r="B635" s="252">
        <v>43945</v>
      </c>
      <c r="C635" s="221"/>
      <c r="D635" s="254" t="s">
        <v>107</v>
      </c>
      <c r="E635" s="123"/>
      <c r="F635" s="124"/>
      <c r="G635" s="9"/>
      <c r="H635" s="10"/>
      <c r="I635" s="39"/>
      <c r="J635" s="622">
        <v>198700</v>
      </c>
      <c r="K635" s="228"/>
      <c r="L635" s="122"/>
    </row>
    <row r="636" spans="2:14">
      <c r="B636" s="252">
        <v>43978</v>
      </c>
      <c r="C636" s="221"/>
      <c r="D636" s="254" t="s">
        <v>243</v>
      </c>
      <c r="E636" s="123"/>
      <c r="F636" s="124"/>
      <c r="G636" s="9"/>
      <c r="H636" s="10"/>
      <c r="I636" s="39"/>
      <c r="J636" s="622">
        <v>201500</v>
      </c>
      <c r="K636" s="624"/>
      <c r="L636" s="625"/>
      <c r="M636" s="626">
        <v>201200</v>
      </c>
      <c r="N636" s="634">
        <f>+M636-J636</f>
        <v>-300</v>
      </c>
    </row>
    <row r="637" spans="2:14">
      <c r="B637" s="252">
        <v>44006</v>
      </c>
      <c r="C637" s="221"/>
      <c r="D637" s="254" t="s">
        <v>249</v>
      </c>
      <c r="E637" s="123"/>
      <c r="F637" s="124"/>
      <c r="G637" s="9"/>
      <c r="H637" s="10"/>
      <c r="I637" s="39"/>
      <c r="J637" s="622">
        <v>201200</v>
      </c>
      <c r="K637" s="228"/>
      <c r="L637" s="122"/>
    </row>
    <row r="638" spans="2:14">
      <c r="B638" s="204">
        <v>44036</v>
      </c>
      <c r="C638" s="58"/>
      <c r="D638" s="58" t="s">
        <v>267</v>
      </c>
      <c r="E638" s="123"/>
      <c r="F638" s="124"/>
      <c r="G638" s="9"/>
      <c r="H638" s="10"/>
      <c r="I638" s="39"/>
      <c r="J638" s="636">
        <v>206600</v>
      </c>
      <c r="K638" s="228"/>
      <c r="L638" s="122"/>
    </row>
    <row r="639" spans="2:14">
      <c r="B639" s="204">
        <v>44046</v>
      </c>
      <c r="C639" s="58"/>
      <c r="D639" s="58" t="s">
        <v>278</v>
      </c>
      <c r="E639" s="123"/>
      <c r="F639" s="124"/>
      <c r="G639" s="9"/>
      <c r="H639" s="10"/>
      <c r="I639" s="39"/>
      <c r="J639" s="622">
        <v>2400</v>
      </c>
      <c r="K639" s="228"/>
      <c r="L639" s="122"/>
    </row>
    <row r="640" spans="2:14">
      <c r="B640" s="252">
        <v>44067</v>
      </c>
      <c r="C640" s="221"/>
      <c r="D640" s="222" t="s">
        <v>281</v>
      </c>
      <c r="E640" s="123"/>
      <c r="F640" s="124"/>
      <c r="G640" s="9"/>
      <c r="H640" s="10"/>
      <c r="I640" s="39"/>
      <c r="J640" s="622">
        <v>294200</v>
      </c>
      <c r="K640" s="228"/>
      <c r="L640" s="122"/>
    </row>
    <row r="641" spans="2:14">
      <c r="B641" s="252">
        <v>44098</v>
      </c>
      <c r="C641" s="221"/>
      <c r="D641" s="222" t="s">
        <v>286</v>
      </c>
      <c r="E641" s="123"/>
      <c r="F641" s="124"/>
      <c r="G641" s="9"/>
      <c r="H641" s="10"/>
      <c r="I641" s="39"/>
      <c r="J641" s="622">
        <v>229600</v>
      </c>
      <c r="K641" s="228"/>
      <c r="L641" s="122"/>
    </row>
    <row r="642" spans="2:14">
      <c r="B642" s="252" t="s">
        <v>301</v>
      </c>
      <c r="C642" s="253"/>
      <c r="D642" s="254" t="s">
        <v>292</v>
      </c>
      <c r="E642" s="123"/>
      <c r="F642" s="124"/>
      <c r="G642" s="9"/>
      <c r="H642" s="10"/>
      <c r="I642" s="39"/>
      <c r="J642" s="219">
        <f>N636</f>
        <v>-300</v>
      </c>
      <c r="K642" s="228"/>
      <c r="L642" s="122"/>
    </row>
    <row r="643" spans="2:14">
      <c r="B643" s="252" t="s">
        <v>301</v>
      </c>
      <c r="C643" s="253"/>
      <c r="D643" s="254" t="s">
        <v>299</v>
      </c>
      <c r="E643" s="123"/>
      <c r="F643" s="124"/>
      <c r="G643" s="9"/>
      <c r="H643" s="10"/>
      <c r="I643" s="39"/>
      <c r="J643" s="219">
        <v>216700</v>
      </c>
      <c r="K643" s="228"/>
      <c r="L643" s="122"/>
    </row>
    <row r="644" spans="2:14">
      <c r="B644" s="204"/>
      <c r="C644" s="58"/>
      <c r="D644" s="58"/>
      <c r="E644" s="123"/>
      <c r="F644" s="124"/>
      <c r="G644" s="9"/>
      <c r="H644" s="10"/>
      <c r="I644" s="39"/>
      <c r="J644" s="219"/>
      <c r="K644" s="228"/>
      <c r="L644" s="122"/>
    </row>
    <row r="645" spans="2:14">
      <c r="B645" s="220"/>
      <c r="C645" s="221"/>
      <c r="D645" s="222"/>
      <c r="E645" s="123"/>
      <c r="F645" s="124"/>
      <c r="G645" s="9"/>
      <c r="H645" s="10"/>
      <c r="I645" s="39"/>
      <c r="J645" s="219"/>
      <c r="K645" s="228"/>
      <c r="L645" s="122"/>
    </row>
    <row r="646" spans="2:14">
      <c r="B646" s="220"/>
      <c r="C646" s="221"/>
      <c r="D646" s="221"/>
      <c r="E646" s="123"/>
      <c r="F646" s="124"/>
      <c r="G646" s="9"/>
      <c r="H646" s="10"/>
      <c r="I646" s="39"/>
      <c r="J646" s="219"/>
      <c r="K646" s="228"/>
      <c r="L646" s="122"/>
    </row>
    <row r="647" spans="2:14" ht="15.75">
      <c r="B647" s="202"/>
      <c r="C647" s="135">
        <v>2020110404</v>
      </c>
      <c r="D647" s="135" t="s">
        <v>74</v>
      </c>
      <c r="E647" s="137">
        <f>'PROYECCION 2020'!C55</f>
        <v>52000000</v>
      </c>
      <c r="F647" s="138">
        <f>SUM(F648:F658)</f>
        <v>0</v>
      </c>
      <c r="G647" s="138">
        <f>SUM(G648:G662)</f>
        <v>0</v>
      </c>
      <c r="H647" s="138">
        <f>SUM(H648:H662)</f>
        <v>0</v>
      </c>
      <c r="I647" s="139">
        <f>ROUND((E647+F647+G647-H647),0)</f>
        <v>52000000</v>
      </c>
      <c r="J647" s="389">
        <f>SUM(J648:J662)</f>
        <v>40911027</v>
      </c>
      <c r="K647" s="227">
        <f>I647-J647</f>
        <v>11088973</v>
      </c>
      <c r="L647" s="122"/>
    </row>
    <row r="648" spans="2:14">
      <c r="B648" s="204">
        <v>44188</v>
      </c>
      <c r="C648" s="58"/>
      <c r="D648" s="58" t="s">
        <v>104</v>
      </c>
      <c r="E648" s="123"/>
      <c r="F648" s="124"/>
      <c r="G648" s="9"/>
      <c r="H648" s="10"/>
      <c r="I648" s="39"/>
      <c r="J648" s="622">
        <v>3223204</v>
      </c>
      <c r="K648" s="228"/>
      <c r="L648" s="122"/>
    </row>
    <row r="649" spans="2:14">
      <c r="B649" s="252">
        <v>43887</v>
      </c>
      <c r="C649" s="221"/>
      <c r="D649" s="254" t="s">
        <v>105</v>
      </c>
      <c r="E649" s="123"/>
      <c r="F649" s="124"/>
      <c r="G649" s="9"/>
      <c r="H649" s="10"/>
      <c r="I649" s="39"/>
      <c r="J649" s="622">
        <v>4021257</v>
      </c>
      <c r="K649" s="417"/>
      <c r="L649" s="418"/>
      <c r="M649" s="628">
        <v>3921934</v>
      </c>
      <c r="N649" s="634">
        <f>+M649-J649</f>
        <v>-99323</v>
      </c>
    </row>
    <row r="650" spans="2:14">
      <c r="B650" s="204">
        <v>43914</v>
      </c>
      <c r="C650" s="58"/>
      <c r="D650" s="58" t="s">
        <v>106</v>
      </c>
      <c r="E650" s="123"/>
      <c r="F650" s="124"/>
      <c r="G650" s="9"/>
      <c r="H650" s="10"/>
      <c r="I650" s="39"/>
      <c r="J650" s="622">
        <v>3691397</v>
      </c>
      <c r="K650" s="228"/>
      <c r="L650" s="122"/>
    </row>
    <row r="651" spans="2:14">
      <c r="B651" s="252">
        <v>43945</v>
      </c>
      <c r="C651" s="221"/>
      <c r="D651" s="254" t="s">
        <v>107</v>
      </c>
      <c r="E651" s="123"/>
      <c r="F651" s="124"/>
      <c r="G651" s="9"/>
      <c r="H651" s="10"/>
      <c r="I651" s="39"/>
      <c r="J651" s="622">
        <v>3678990</v>
      </c>
      <c r="K651" s="228"/>
      <c r="L651" s="122"/>
    </row>
    <row r="652" spans="2:14">
      <c r="B652" s="252">
        <v>43978</v>
      </c>
      <c r="C652" s="221"/>
      <c r="D652" s="254" t="s">
        <v>243</v>
      </c>
      <c r="E652" s="123"/>
      <c r="F652" s="124"/>
      <c r="G652" s="9"/>
      <c r="H652" s="10"/>
      <c r="I652" s="39"/>
      <c r="J652" s="622">
        <v>3735915</v>
      </c>
      <c r="K652" s="228"/>
      <c r="L652" s="122"/>
    </row>
    <row r="653" spans="2:14" ht="13.5" customHeight="1">
      <c r="B653" s="252">
        <v>44006</v>
      </c>
      <c r="C653" s="221"/>
      <c r="D653" s="254" t="s">
        <v>249</v>
      </c>
      <c r="E653" s="123"/>
      <c r="F653" s="124"/>
      <c r="G653" s="9"/>
      <c r="H653" s="10"/>
      <c r="I653" s="39"/>
      <c r="J653" s="622">
        <v>3735915</v>
      </c>
      <c r="K653" s="228"/>
      <c r="L653" s="122"/>
    </row>
    <row r="654" spans="2:14">
      <c r="B654" s="204">
        <v>44036</v>
      </c>
      <c r="C654" s="58"/>
      <c r="D654" s="58" t="s">
        <v>267</v>
      </c>
      <c r="E654" s="123"/>
      <c r="F654" s="124"/>
      <c r="G654" s="9"/>
      <c r="H654" s="10"/>
      <c r="I654" s="39"/>
      <c r="J654" s="636">
        <v>4011369</v>
      </c>
      <c r="K654" s="417"/>
      <c r="L654" s="418"/>
      <c r="M654" s="410">
        <v>4011373</v>
      </c>
      <c r="N654" s="634">
        <f>+M654-J654</f>
        <v>4</v>
      </c>
    </row>
    <row r="655" spans="2:14">
      <c r="B655" s="252">
        <v>44067</v>
      </c>
      <c r="C655" s="221"/>
      <c r="D655" s="222" t="s">
        <v>281</v>
      </c>
      <c r="E655" s="123"/>
      <c r="F655" s="124"/>
      <c r="G655" s="9"/>
      <c r="H655" s="10"/>
      <c r="I655" s="39"/>
      <c r="J655" s="622">
        <v>5808039</v>
      </c>
      <c r="K655" s="228"/>
      <c r="L655" s="122"/>
    </row>
    <row r="656" spans="2:14">
      <c r="B656" s="252">
        <v>44098</v>
      </c>
      <c r="C656" s="221"/>
      <c r="D656" s="222" t="s">
        <v>286</v>
      </c>
      <c r="E656" s="123"/>
      <c r="F656" s="124"/>
      <c r="G656" s="9"/>
      <c r="H656" s="10"/>
      <c r="I656" s="39"/>
      <c r="J656" s="622">
        <v>4552130</v>
      </c>
      <c r="K656" s="228"/>
      <c r="L656" s="122"/>
    </row>
    <row r="657" spans="2:12">
      <c r="B657" s="204"/>
      <c r="C657" s="58"/>
      <c r="D657" s="58" t="s">
        <v>293</v>
      </c>
      <c r="E657" s="123"/>
      <c r="F657" s="124"/>
      <c r="G657" s="9"/>
      <c r="H657" s="10"/>
      <c r="I657" s="39"/>
      <c r="J657" s="416">
        <f>+N649+N654</f>
        <v>-99319</v>
      </c>
      <c r="K657" s="228"/>
      <c r="L657" s="122"/>
    </row>
    <row r="658" spans="2:12">
      <c r="B658" s="252" t="s">
        <v>301</v>
      </c>
      <c r="C658" s="253"/>
      <c r="D658" s="254" t="s">
        <v>299</v>
      </c>
      <c r="E658" s="123"/>
      <c r="F658" s="124"/>
      <c r="G658" s="9"/>
      <c r="H658" s="10"/>
      <c r="I658" s="39"/>
      <c r="J658" s="219">
        <v>4552130</v>
      </c>
      <c r="K658" s="228"/>
      <c r="L658" s="122"/>
    </row>
    <row r="659" spans="2:12">
      <c r="B659" s="220"/>
      <c r="C659" s="221"/>
      <c r="D659" s="222"/>
      <c r="E659" s="123"/>
      <c r="F659" s="124"/>
      <c r="G659" s="9"/>
      <c r="H659" s="10"/>
      <c r="I659" s="39"/>
      <c r="J659" s="219"/>
      <c r="K659" s="228"/>
      <c r="L659" s="21"/>
    </row>
    <row r="660" spans="2:12">
      <c r="B660" s="252"/>
      <c r="C660" s="253"/>
      <c r="D660" s="254"/>
      <c r="E660" s="123"/>
      <c r="F660" s="124"/>
      <c r="G660" s="9"/>
      <c r="H660" s="10"/>
      <c r="I660" s="39"/>
      <c r="J660" s="219"/>
      <c r="K660" s="228"/>
      <c r="L660" s="122"/>
    </row>
    <row r="661" spans="2:12">
      <c r="B661" s="204"/>
      <c r="C661" s="58"/>
      <c r="D661" s="58"/>
      <c r="E661" s="123"/>
      <c r="F661" s="124"/>
      <c r="G661" s="9"/>
      <c r="H661" s="10"/>
      <c r="I661" s="39"/>
      <c r="J661" s="219"/>
      <c r="K661" s="228"/>
      <c r="L661" s="122"/>
    </row>
    <row r="662" spans="2:12">
      <c r="B662" s="220"/>
      <c r="C662" s="221"/>
      <c r="D662" s="222"/>
      <c r="E662" s="123"/>
      <c r="F662" s="124"/>
      <c r="G662" s="9"/>
      <c r="H662" s="10"/>
      <c r="I662" s="39"/>
      <c r="J662" s="219"/>
      <c r="K662" s="228"/>
      <c r="L662" s="122"/>
    </row>
    <row r="663" spans="2:12" ht="15.75">
      <c r="B663" s="202"/>
      <c r="C663" s="135">
        <v>2020110405</v>
      </c>
      <c r="D663" s="135" t="s">
        <v>84</v>
      </c>
      <c r="E663" s="137">
        <f>'PROYECCION 2020'!C56</f>
        <v>27000000</v>
      </c>
      <c r="F663" s="138">
        <f>SUM(F664:F678)</f>
        <v>0</v>
      </c>
      <c r="G663" s="138">
        <f>SUM(G664:G678)</f>
        <v>0</v>
      </c>
      <c r="H663" s="138">
        <f>SUM(H664:H678)</f>
        <v>0</v>
      </c>
      <c r="I663" s="139">
        <f>ROUND((E663+F663+G663-H663),0)</f>
        <v>27000000</v>
      </c>
      <c r="J663" s="389">
        <f>SUM(J664:J678)</f>
        <v>16700300</v>
      </c>
      <c r="K663" s="227">
        <f>I663-J663</f>
        <v>10299700</v>
      </c>
      <c r="L663" s="122"/>
    </row>
    <row r="664" spans="2:12">
      <c r="B664" s="204">
        <v>44188</v>
      </c>
      <c r="C664" s="58"/>
      <c r="D664" s="58" t="s">
        <v>104</v>
      </c>
      <c r="E664" s="123"/>
      <c r="F664" s="124"/>
      <c r="G664" s="9"/>
      <c r="H664" s="10"/>
      <c r="I664" s="39"/>
      <c r="J664" s="622">
        <v>1394700</v>
      </c>
      <c r="K664" s="228"/>
      <c r="L664" s="122"/>
    </row>
    <row r="665" spans="2:12">
      <c r="B665" s="252">
        <v>43887</v>
      </c>
      <c r="C665" s="221"/>
      <c r="D665" s="254" t="s">
        <v>105</v>
      </c>
      <c r="E665" s="123"/>
      <c r="F665" s="124"/>
      <c r="G665" s="9"/>
      <c r="H665" s="10"/>
      <c r="I665" s="39"/>
      <c r="J665" s="622">
        <v>1601500</v>
      </c>
      <c r="K665" s="228"/>
      <c r="L665" s="122"/>
    </row>
    <row r="666" spans="2:12">
      <c r="B666" s="204">
        <v>43914</v>
      </c>
      <c r="C666" s="58"/>
      <c r="D666" s="58" t="s">
        <v>106</v>
      </c>
      <c r="E666" s="123"/>
      <c r="F666" s="124"/>
      <c r="G666" s="9"/>
      <c r="H666" s="10"/>
      <c r="I666" s="39"/>
      <c r="J666" s="622">
        <v>1461400</v>
      </c>
      <c r="K666" s="228"/>
      <c r="L666" s="122"/>
    </row>
    <row r="667" spans="2:12">
      <c r="B667" s="252">
        <v>43945</v>
      </c>
      <c r="C667" s="221"/>
      <c r="D667" s="254" t="s">
        <v>107</v>
      </c>
      <c r="E667" s="123"/>
      <c r="F667" s="124"/>
      <c r="G667" s="9"/>
      <c r="H667" s="10"/>
      <c r="I667" s="39"/>
      <c r="J667" s="622">
        <v>1520600</v>
      </c>
      <c r="K667" s="228"/>
      <c r="L667" s="122"/>
    </row>
    <row r="668" spans="2:12">
      <c r="B668" s="252">
        <v>43978</v>
      </c>
      <c r="C668" s="221"/>
      <c r="D668" s="254" t="s">
        <v>243</v>
      </c>
      <c r="E668" s="123"/>
      <c r="F668" s="124"/>
      <c r="G668" s="9"/>
      <c r="H668" s="10"/>
      <c r="I668" s="39"/>
      <c r="J668" s="622">
        <v>1539500</v>
      </c>
      <c r="K668" s="228"/>
      <c r="L668" s="122"/>
    </row>
    <row r="669" spans="2:12">
      <c r="B669" s="252">
        <v>44006</v>
      </c>
      <c r="C669" s="221"/>
      <c r="D669" s="254" t="s">
        <v>249</v>
      </c>
      <c r="E669" s="123"/>
      <c r="F669" s="124"/>
      <c r="G669" s="9"/>
      <c r="H669" s="10"/>
      <c r="I669" s="39"/>
      <c r="J669" s="622">
        <v>1539500</v>
      </c>
      <c r="K669" s="228"/>
      <c r="L669" s="122"/>
    </row>
    <row r="670" spans="2:12">
      <c r="B670" s="204">
        <v>44036</v>
      </c>
      <c r="C670" s="58"/>
      <c r="D670" s="58" t="s">
        <v>267</v>
      </c>
      <c r="E670" s="123"/>
      <c r="F670" s="124"/>
      <c r="G670" s="9"/>
      <c r="H670" s="10"/>
      <c r="I670" s="39"/>
      <c r="J670" s="636">
        <v>1721900</v>
      </c>
      <c r="K670" s="228"/>
      <c r="L670" s="122"/>
    </row>
    <row r="671" spans="2:12">
      <c r="B671" s="204">
        <v>44046</v>
      </c>
      <c r="C671" s="58"/>
      <c r="D671" s="58" t="s">
        <v>278</v>
      </c>
      <c r="E671" s="123"/>
      <c r="F671" s="124"/>
      <c r="G671" s="9"/>
      <c r="H671" s="10"/>
      <c r="I671" s="39"/>
      <c r="J671" s="622">
        <v>18100</v>
      </c>
      <c r="K671" s="228"/>
      <c r="L671" s="122"/>
    </row>
    <row r="672" spans="2:12">
      <c r="B672" s="252">
        <v>44067</v>
      </c>
      <c r="C672" s="221"/>
      <c r="D672" s="222" t="s">
        <v>281</v>
      </c>
      <c r="E672" s="123"/>
      <c r="F672" s="124"/>
      <c r="G672" s="9"/>
      <c r="H672" s="10"/>
      <c r="I672" s="39"/>
      <c r="J672" s="622">
        <v>2252800</v>
      </c>
      <c r="K672" s="228"/>
      <c r="L672" s="122"/>
    </row>
    <row r="673" spans="2:12">
      <c r="B673" s="252">
        <v>44098</v>
      </c>
      <c r="C673" s="221"/>
      <c r="D673" s="222" t="s">
        <v>286</v>
      </c>
      <c r="E673" s="123"/>
      <c r="F673" s="124"/>
      <c r="G673" s="9"/>
      <c r="H673" s="10"/>
      <c r="I673" s="39"/>
      <c r="J673" s="622">
        <v>1892500</v>
      </c>
      <c r="K673" s="228"/>
      <c r="L673" s="122"/>
    </row>
    <row r="674" spans="2:12">
      <c r="B674" s="252" t="s">
        <v>301</v>
      </c>
      <c r="C674" s="253"/>
      <c r="D674" s="254" t="s">
        <v>299</v>
      </c>
      <c r="E674" s="123"/>
      <c r="F674" s="124"/>
      <c r="G674" s="9"/>
      <c r="H674" s="10"/>
      <c r="I674" s="39"/>
      <c r="J674" s="219">
        <v>1757800</v>
      </c>
      <c r="K674" s="228"/>
      <c r="L674" s="122"/>
    </row>
    <row r="675" spans="2:12">
      <c r="B675" s="252"/>
      <c r="C675" s="253"/>
      <c r="D675" s="254"/>
      <c r="E675" s="123"/>
      <c r="F675" s="124"/>
      <c r="G675" s="9"/>
      <c r="H675" s="10"/>
      <c r="I675" s="39"/>
      <c r="J675" s="219"/>
      <c r="K675" s="228"/>
      <c r="L675" s="122"/>
    </row>
    <row r="676" spans="2:12">
      <c r="B676" s="204"/>
      <c r="C676" s="58"/>
      <c r="D676" s="58"/>
      <c r="E676" s="123"/>
      <c r="F676" s="124"/>
      <c r="G676" s="9"/>
      <c r="H676" s="10"/>
      <c r="I676" s="39"/>
      <c r="J676" s="219"/>
      <c r="K676" s="228"/>
      <c r="L676" s="122"/>
    </row>
    <row r="677" spans="2:12">
      <c r="B677" s="204"/>
      <c r="C677" s="58"/>
      <c r="D677" s="58"/>
      <c r="E677" s="123"/>
      <c r="F677" s="124"/>
      <c r="G677" s="9"/>
      <c r="H677" s="10"/>
      <c r="I677" s="39"/>
      <c r="J677" s="219"/>
      <c r="K677" s="228"/>
      <c r="L677" s="122"/>
    </row>
    <row r="678" spans="2:12">
      <c r="B678" s="204"/>
      <c r="C678" s="58"/>
      <c r="D678" s="58"/>
      <c r="E678" s="123"/>
      <c r="F678" s="124"/>
      <c r="G678" s="9"/>
      <c r="H678" s="10"/>
      <c r="I678" s="39"/>
      <c r="J678" s="219"/>
      <c r="K678" s="228"/>
      <c r="L678" s="122"/>
    </row>
    <row r="679" spans="2:12" ht="15.75">
      <c r="B679" s="202"/>
      <c r="C679" s="135">
        <v>2020110406</v>
      </c>
      <c r="D679" s="135" t="s">
        <v>86</v>
      </c>
      <c r="E679" s="137">
        <f>'PROYECCION 2020'!C57</f>
        <v>23000000</v>
      </c>
      <c r="F679" s="138">
        <f>SUM(F680:F694)</f>
        <v>0</v>
      </c>
      <c r="G679" s="138">
        <f>SUM(G680:G694)</f>
        <v>0</v>
      </c>
      <c r="H679" s="138">
        <f>SUM(H680:H694)</f>
        <v>0</v>
      </c>
      <c r="I679" s="139">
        <f>ROUND((E679+F679+G679-H679),0)</f>
        <v>23000000</v>
      </c>
      <c r="J679" s="389">
        <f>SUM(J680:J694)</f>
        <v>12524500</v>
      </c>
      <c r="K679" s="227">
        <f>I679-J679</f>
        <v>10475500</v>
      </c>
      <c r="L679" s="122"/>
    </row>
    <row r="680" spans="2:12">
      <c r="B680" s="204">
        <v>44188</v>
      </c>
      <c r="C680" s="58"/>
      <c r="D680" s="58" t="s">
        <v>104</v>
      </c>
      <c r="E680" s="123"/>
      <c r="F680" s="124"/>
      <c r="G680" s="9"/>
      <c r="H680" s="10"/>
      <c r="I680" s="39"/>
      <c r="J680" s="622">
        <v>1045900</v>
      </c>
      <c r="K680" s="228"/>
      <c r="L680" s="122"/>
    </row>
    <row r="681" spans="2:12">
      <c r="B681" s="252">
        <v>43887</v>
      </c>
      <c r="C681" s="221"/>
      <c r="D681" s="254" t="s">
        <v>105</v>
      </c>
      <c r="E681" s="123"/>
      <c r="F681" s="124"/>
      <c r="G681" s="9"/>
      <c r="H681" s="10"/>
      <c r="I681" s="39"/>
      <c r="J681" s="622">
        <v>1201000</v>
      </c>
      <c r="K681" s="228"/>
      <c r="L681" s="122"/>
    </row>
    <row r="682" spans="2:12">
      <c r="B682" s="204">
        <v>43914</v>
      </c>
      <c r="C682" s="58"/>
      <c r="D682" s="58" t="s">
        <v>106</v>
      </c>
      <c r="E682" s="123"/>
      <c r="F682" s="124"/>
      <c r="G682" s="9"/>
      <c r="H682" s="10"/>
      <c r="I682" s="39"/>
      <c r="J682" s="622">
        <v>1096000</v>
      </c>
      <c r="K682" s="228"/>
      <c r="L682" s="122"/>
    </row>
    <row r="683" spans="2:12">
      <c r="B683" s="252">
        <v>43945</v>
      </c>
      <c r="C683" s="221"/>
      <c r="D683" s="254" t="s">
        <v>107</v>
      </c>
      <c r="E683" s="123"/>
      <c r="F683" s="124"/>
      <c r="G683" s="9"/>
      <c r="H683" s="10"/>
      <c r="I683" s="39"/>
      <c r="J683" s="622">
        <v>1140300</v>
      </c>
      <c r="K683" s="228"/>
      <c r="L683" s="122"/>
    </row>
    <row r="684" spans="2:12">
      <c r="B684" s="252">
        <v>43978</v>
      </c>
      <c r="C684" s="221"/>
      <c r="D684" s="254" t="s">
        <v>243</v>
      </c>
      <c r="E684" s="123"/>
      <c r="F684" s="124"/>
      <c r="G684" s="9"/>
      <c r="H684" s="10"/>
      <c r="I684" s="39"/>
      <c r="J684" s="622">
        <v>1154500</v>
      </c>
      <c r="K684" s="228"/>
      <c r="L684" s="122"/>
    </row>
    <row r="685" spans="2:12">
      <c r="B685" s="252">
        <v>44006</v>
      </c>
      <c r="C685" s="221"/>
      <c r="D685" s="254" t="s">
        <v>249</v>
      </c>
      <c r="E685" s="123"/>
      <c r="F685" s="124"/>
      <c r="G685" s="9"/>
      <c r="H685" s="10"/>
      <c r="I685" s="39"/>
      <c r="J685" s="622">
        <v>1154500</v>
      </c>
      <c r="K685" s="228"/>
      <c r="L685" s="122"/>
    </row>
    <row r="686" spans="2:12">
      <c r="B686" s="204">
        <v>44036</v>
      </c>
      <c r="C686" s="58"/>
      <c r="D686" s="58" t="s">
        <v>267</v>
      </c>
      <c r="E686" s="123"/>
      <c r="F686" s="124"/>
      <c r="G686" s="9"/>
      <c r="H686" s="10"/>
      <c r="I686" s="39"/>
      <c r="J686" s="636">
        <v>1291400</v>
      </c>
      <c r="K686" s="228"/>
      <c r="L686" s="122"/>
    </row>
    <row r="687" spans="2:12">
      <c r="B687" s="204">
        <v>44046</v>
      </c>
      <c r="C687" s="58"/>
      <c r="D687" s="58" t="s">
        <v>278</v>
      </c>
      <c r="E687" s="123"/>
      <c r="F687" s="124"/>
      <c r="G687" s="9"/>
      <c r="H687" s="10"/>
      <c r="I687" s="39"/>
      <c r="J687" s="622">
        <v>13600</v>
      </c>
      <c r="K687" s="228"/>
      <c r="L687" s="122"/>
    </row>
    <row r="688" spans="2:12">
      <c r="B688" s="252">
        <v>44067</v>
      </c>
      <c r="C688" s="221"/>
      <c r="D688" s="222" t="s">
        <v>281</v>
      </c>
      <c r="E688" s="123"/>
      <c r="F688" s="124"/>
      <c r="G688" s="9"/>
      <c r="H688" s="10"/>
      <c r="I688" s="39"/>
      <c r="J688" s="622">
        <v>1689800</v>
      </c>
      <c r="K688" s="228"/>
      <c r="L688" s="122"/>
    </row>
    <row r="689" spans="2:12">
      <c r="B689" s="252">
        <v>44098</v>
      </c>
      <c r="C689" s="221"/>
      <c r="D689" s="222" t="s">
        <v>286</v>
      </c>
      <c r="E689" s="123"/>
      <c r="F689" s="124"/>
      <c r="G689" s="9"/>
      <c r="H689" s="10"/>
      <c r="I689" s="39"/>
      <c r="J689" s="219">
        <v>1419300</v>
      </c>
      <c r="K689" s="228"/>
      <c r="L689" s="122"/>
    </row>
    <row r="690" spans="2:12">
      <c r="B690" s="252" t="s">
        <v>301</v>
      </c>
      <c r="C690" s="253"/>
      <c r="D690" s="254" t="s">
        <v>299</v>
      </c>
      <c r="E690" s="123"/>
      <c r="F690" s="124"/>
      <c r="G690" s="9"/>
      <c r="H690" s="10"/>
      <c r="I690" s="39"/>
      <c r="J690" s="219">
        <v>1318200</v>
      </c>
      <c r="K690" s="228"/>
      <c r="L690" s="122"/>
    </row>
    <row r="691" spans="2:12">
      <c r="B691" s="252"/>
      <c r="C691" s="253"/>
      <c r="D691" s="254"/>
      <c r="E691" s="123"/>
      <c r="F691" s="124"/>
      <c r="G691" s="9"/>
      <c r="H691" s="10"/>
      <c r="I691" s="39"/>
      <c r="J691" s="219"/>
      <c r="K691" s="228"/>
      <c r="L691" s="122"/>
    </row>
    <row r="692" spans="2:12">
      <c r="B692" s="204"/>
      <c r="C692" s="58"/>
      <c r="D692" s="58"/>
      <c r="E692" s="123"/>
      <c r="F692" s="124"/>
      <c r="G692" s="9"/>
      <c r="H692" s="10"/>
      <c r="I692" s="39"/>
      <c r="J692" s="219"/>
      <c r="K692" s="228"/>
      <c r="L692" s="122"/>
    </row>
    <row r="693" spans="2:12">
      <c r="B693" s="204"/>
      <c r="C693" s="58"/>
      <c r="D693" s="58"/>
      <c r="E693" s="123"/>
      <c r="F693" s="124"/>
      <c r="G693" s="9"/>
      <c r="H693" s="10"/>
      <c r="I693" s="39"/>
      <c r="J693" s="219"/>
      <c r="K693" s="228"/>
      <c r="L693" s="122"/>
    </row>
    <row r="694" spans="2:12">
      <c r="B694" s="204"/>
      <c r="C694" s="58"/>
      <c r="D694" s="58"/>
      <c r="E694" s="123"/>
      <c r="F694" s="124"/>
      <c r="G694" s="9"/>
      <c r="H694" s="10"/>
      <c r="I694" s="39"/>
      <c r="J694" s="219"/>
      <c r="K694" s="228"/>
      <c r="L694" s="122"/>
    </row>
    <row r="695" spans="2:12" ht="15.75">
      <c r="B695" s="202"/>
      <c r="C695" s="135">
        <v>2020110407</v>
      </c>
      <c r="D695" s="135" t="s">
        <v>88</v>
      </c>
      <c r="E695" s="137">
        <f>'PROYECCION 2020'!C58</f>
        <v>4000000</v>
      </c>
      <c r="F695" s="138">
        <f>SUM(F696:F709)</f>
        <v>0</v>
      </c>
      <c r="G695" s="138">
        <f>SUM(G696:G709)</f>
        <v>0</v>
      </c>
      <c r="H695" s="138">
        <f>SUM(H696:H709)</f>
        <v>0</v>
      </c>
      <c r="I695" s="139">
        <f>ROUND((E695+F695+G695-H695),0)</f>
        <v>4000000</v>
      </c>
      <c r="J695" s="389">
        <f>SUM(J696:J709)</f>
        <v>2092100</v>
      </c>
      <c r="K695" s="227">
        <f>I695-J695</f>
        <v>1907900</v>
      </c>
      <c r="L695" s="122"/>
    </row>
    <row r="696" spans="2:12">
      <c r="B696" s="204">
        <v>44188</v>
      </c>
      <c r="C696" s="58"/>
      <c r="D696" s="58" t="s">
        <v>104</v>
      </c>
      <c r="E696" s="123"/>
      <c r="F696" s="124"/>
      <c r="G696" s="9"/>
      <c r="H696" s="10"/>
      <c r="I696" s="39"/>
      <c r="J696" s="622">
        <v>174800</v>
      </c>
      <c r="K696" s="228"/>
      <c r="L696" s="122"/>
    </row>
    <row r="697" spans="2:12">
      <c r="B697" s="252">
        <v>43887</v>
      </c>
      <c r="C697" s="221"/>
      <c r="D697" s="254" t="s">
        <v>105</v>
      </c>
      <c r="E697" s="123"/>
      <c r="F697" s="124"/>
      <c r="G697" s="9"/>
      <c r="H697" s="10"/>
      <c r="I697" s="39"/>
      <c r="J697" s="622">
        <v>200700</v>
      </c>
      <c r="K697" s="228"/>
      <c r="L697" s="122"/>
    </row>
    <row r="698" spans="2:12">
      <c r="B698" s="204">
        <v>43914</v>
      </c>
      <c r="C698" s="58"/>
      <c r="D698" s="58" t="s">
        <v>106</v>
      </c>
      <c r="E698" s="123"/>
      <c r="F698" s="124"/>
      <c r="G698" s="9"/>
      <c r="H698" s="10"/>
      <c r="I698" s="39"/>
      <c r="J698" s="622">
        <v>183200</v>
      </c>
      <c r="K698" s="228"/>
      <c r="L698" s="122"/>
    </row>
    <row r="699" spans="2:12">
      <c r="B699" s="252">
        <v>46501</v>
      </c>
      <c r="C699" s="221"/>
      <c r="D699" s="254" t="s">
        <v>107</v>
      </c>
      <c r="E699" s="123"/>
      <c r="F699" s="124"/>
      <c r="G699" s="9"/>
      <c r="H699" s="10"/>
      <c r="I699" s="39"/>
      <c r="J699" s="622">
        <v>190600</v>
      </c>
      <c r="K699" s="228"/>
      <c r="L699" s="122"/>
    </row>
    <row r="700" spans="2:12">
      <c r="B700" s="252">
        <v>43978</v>
      </c>
      <c r="C700" s="221"/>
      <c r="D700" s="254" t="s">
        <v>243</v>
      </c>
      <c r="E700" s="123"/>
      <c r="F700" s="124"/>
      <c r="G700" s="9"/>
      <c r="H700" s="10"/>
      <c r="I700" s="39"/>
      <c r="J700" s="622">
        <v>192900</v>
      </c>
      <c r="K700" s="228"/>
      <c r="L700" s="122"/>
    </row>
    <row r="701" spans="2:12">
      <c r="B701" s="252">
        <v>44006</v>
      </c>
      <c r="C701" s="221"/>
      <c r="D701" s="254" t="s">
        <v>249</v>
      </c>
      <c r="E701" s="123"/>
      <c r="F701" s="124"/>
      <c r="G701" s="9"/>
      <c r="H701" s="10"/>
      <c r="I701" s="39"/>
      <c r="J701" s="622">
        <v>192900</v>
      </c>
      <c r="K701" s="228"/>
      <c r="L701" s="122"/>
    </row>
    <row r="702" spans="2:12">
      <c r="B702" s="204">
        <v>44036</v>
      </c>
      <c r="C702" s="58"/>
      <c r="D702" s="58" t="s">
        <v>267</v>
      </c>
      <c r="E702" s="123"/>
      <c r="F702" s="124"/>
      <c r="G702" s="9"/>
      <c r="H702" s="10"/>
      <c r="I702" s="39"/>
      <c r="J702" s="636">
        <v>215700</v>
      </c>
      <c r="K702" s="228"/>
      <c r="L702" s="122"/>
    </row>
    <row r="703" spans="2:12">
      <c r="B703" s="204">
        <v>44046</v>
      </c>
      <c r="C703" s="58"/>
      <c r="D703" s="58" t="s">
        <v>278</v>
      </c>
      <c r="E703" s="123"/>
      <c r="F703" s="124"/>
      <c r="G703" s="9"/>
      <c r="H703" s="10"/>
      <c r="I703" s="39"/>
      <c r="J703" s="622">
        <v>2300</v>
      </c>
      <c r="K703" s="228"/>
      <c r="L703" s="122"/>
    </row>
    <row r="704" spans="2:12">
      <c r="B704" s="252">
        <v>44067</v>
      </c>
      <c r="C704" s="221"/>
      <c r="D704" s="222" t="s">
        <v>281</v>
      </c>
      <c r="E704" s="123"/>
      <c r="F704" s="124"/>
      <c r="G704" s="9"/>
      <c r="H704" s="10"/>
      <c r="I704" s="39"/>
      <c r="J704" s="622">
        <v>281900</v>
      </c>
      <c r="K704" s="228"/>
      <c r="L704" s="122"/>
    </row>
    <row r="705" spans="2:12">
      <c r="B705" s="252">
        <v>44098</v>
      </c>
      <c r="C705" s="221"/>
      <c r="D705" s="222" t="s">
        <v>286</v>
      </c>
      <c r="E705" s="123"/>
      <c r="F705" s="124"/>
      <c r="G705" s="9"/>
      <c r="H705" s="10"/>
      <c r="I705" s="39"/>
      <c r="J705" s="219">
        <v>236900</v>
      </c>
      <c r="K705" s="228"/>
      <c r="L705" s="122"/>
    </row>
    <row r="706" spans="2:12">
      <c r="B706" s="252" t="s">
        <v>301</v>
      </c>
      <c r="C706" s="253"/>
      <c r="D706" s="254" t="s">
        <v>299</v>
      </c>
      <c r="E706" s="123"/>
      <c r="F706" s="124"/>
      <c r="G706" s="9"/>
      <c r="H706" s="10"/>
      <c r="I706" s="39"/>
      <c r="J706" s="219">
        <v>220200</v>
      </c>
      <c r="K706" s="228"/>
      <c r="L706" s="122"/>
    </row>
    <row r="707" spans="2:12">
      <c r="B707" s="252"/>
      <c r="C707" s="253"/>
      <c r="D707" s="254"/>
      <c r="E707" s="123"/>
      <c r="F707" s="124"/>
      <c r="G707" s="9"/>
      <c r="H707" s="10"/>
      <c r="I707" s="39"/>
      <c r="J707" s="219"/>
      <c r="K707" s="228"/>
      <c r="L707" s="122"/>
    </row>
    <row r="708" spans="2:12">
      <c r="B708" s="204"/>
      <c r="C708" s="58"/>
      <c r="D708" s="58"/>
      <c r="E708" s="123"/>
      <c r="F708" s="124"/>
      <c r="G708" s="9"/>
      <c r="H708" s="10"/>
      <c r="I708" s="39"/>
      <c r="J708" s="219"/>
      <c r="K708" s="228"/>
      <c r="L708" s="122"/>
    </row>
    <row r="709" spans="2:12">
      <c r="B709" s="204"/>
      <c r="C709" s="58"/>
      <c r="D709" s="58"/>
      <c r="E709" s="123"/>
      <c r="F709" s="124"/>
      <c r="G709" s="9"/>
      <c r="H709" s="10"/>
      <c r="I709" s="39"/>
      <c r="J709" s="219"/>
      <c r="K709" s="228"/>
      <c r="L709" s="122"/>
    </row>
    <row r="710" spans="2:12" ht="15.75">
      <c r="B710" s="202"/>
      <c r="C710" s="135">
        <v>2020110408</v>
      </c>
      <c r="D710" s="135" t="s">
        <v>90</v>
      </c>
      <c r="E710" s="137">
        <f>'PROYECCION 2020'!C59</f>
        <v>4000000</v>
      </c>
      <c r="F710" s="138">
        <f>SUM(F711:F729)</f>
        <v>0</v>
      </c>
      <c r="G710" s="138">
        <f>SUM(G711:G729)</f>
        <v>0</v>
      </c>
      <c r="H710" s="138">
        <f>SUM(H711:H729)</f>
        <v>0</v>
      </c>
      <c r="I710" s="139">
        <f>ROUND((E710+F710+G710-H710),0)</f>
        <v>4000000</v>
      </c>
      <c r="J710" s="389">
        <f>SUM(J711:J729)</f>
        <v>2092100</v>
      </c>
      <c r="K710" s="227">
        <f>I710-J710</f>
        <v>1907900</v>
      </c>
      <c r="L710" s="122"/>
    </row>
    <row r="711" spans="2:12">
      <c r="B711" s="204">
        <v>44188</v>
      </c>
      <c r="C711" s="58"/>
      <c r="D711" s="58" t="s">
        <v>104</v>
      </c>
      <c r="E711" s="123"/>
      <c r="F711" s="124"/>
      <c r="G711" s="9"/>
      <c r="H711" s="10"/>
      <c r="I711" s="39"/>
      <c r="J711" s="622">
        <v>174800</v>
      </c>
      <c r="K711" s="228"/>
      <c r="L711" s="122"/>
    </row>
    <row r="712" spans="2:12">
      <c r="B712" s="252">
        <v>43887</v>
      </c>
      <c r="C712" s="221"/>
      <c r="D712" s="254" t="s">
        <v>105</v>
      </c>
      <c r="E712" s="123"/>
      <c r="F712" s="124"/>
      <c r="G712" s="9"/>
      <c r="H712" s="10"/>
      <c r="I712" s="39"/>
      <c r="J712" s="622">
        <v>200700</v>
      </c>
      <c r="K712" s="228"/>
      <c r="L712" s="122"/>
    </row>
    <row r="713" spans="2:12">
      <c r="B713" s="204">
        <v>43914</v>
      </c>
      <c r="C713" s="58"/>
      <c r="D713" s="58" t="s">
        <v>106</v>
      </c>
      <c r="E713" s="123"/>
      <c r="F713" s="124"/>
      <c r="G713" s="9"/>
      <c r="H713" s="10"/>
      <c r="I713" s="39"/>
      <c r="J713" s="622">
        <v>183200</v>
      </c>
      <c r="K713" s="228"/>
      <c r="L713" s="122"/>
    </row>
    <row r="714" spans="2:12">
      <c r="B714" s="252">
        <v>43945</v>
      </c>
      <c r="C714" s="221"/>
      <c r="D714" s="254" t="s">
        <v>107</v>
      </c>
      <c r="E714" s="123"/>
      <c r="F714" s="124"/>
      <c r="G714" s="9"/>
      <c r="H714" s="10"/>
      <c r="I714" s="39"/>
      <c r="J714" s="622">
        <v>190600</v>
      </c>
      <c r="K714" s="228"/>
      <c r="L714" s="122"/>
    </row>
    <row r="715" spans="2:12">
      <c r="B715" s="252">
        <v>43978</v>
      </c>
      <c r="C715" s="221"/>
      <c r="D715" s="254" t="s">
        <v>243</v>
      </c>
      <c r="E715" s="123"/>
      <c r="F715" s="124"/>
      <c r="G715" s="9"/>
      <c r="H715" s="10"/>
      <c r="I715" s="39"/>
      <c r="J715" s="622">
        <v>192900</v>
      </c>
      <c r="K715" s="228"/>
      <c r="L715" s="122"/>
    </row>
    <row r="716" spans="2:12">
      <c r="B716" s="252">
        <v>44006</v>
      </c>
      <c r="C716" s="221"/>
      <c r="D716" s="254" t="s">
        <v>249</v>
      </c>
      <c r="E716" s="123"/>
      <c r="F716" s="124"/>
      <c r="G716" s="9"/>
      <c r="H716" s="10"/>
      <c r="I716" s="39"/>
      <c r="J716" s="622">
        <v>192900</v>
      </c>
      <c r="K716" s="228"/>
      <c r="L716" s="122"/>
    </row>
    <row r="717" spans="2:12">
      <c r="B717" s="204">
        <v>44036</v>
      </c>
      <c r="C717" s="58"/>
      <c r="D717" s="58" t="s">
        <v>267</v>
      </c>
      <c r="E717" s="123"/>
      <c r="F717" s="124"/>
      <c r="G717" s="9"/>
      <c r="H717" s="10"/>
      <c r="I717" s="39"/>
      <c r="J717" s="636">
        <v>215700</v>
      </c>
      <c r="K717" s="228"/>
      <c r="L717" s="122"/>
    </row>
    <row r="718" spans="2:12">
      <c r="B718" s="204">
        <v>44046</v>
      </c>
      <c r="C718" s="58"/>
      <c r="D718" s="58" t="s">
        <v>278</v>
      </c>
      <c r="E718" s="123"/>
      <c r="F718" s="124"/>
      <c r="G718" s="9"/>
      <c r="H718" s="10"/>
      <c r="I718" s="39"/>
      <c r="J718" s="622">
        <v>2300</v>
      </c>
      <c r="K718" s="228"/>
      <c r="L718" s="122"/>
    </row>
    <row r="719" spans="2:12">
      <c r="B719" s="252">
        <v>44067</v>
      </c>
      <c r="C719" s="221"/>
      <c r="D719" s="222" t="s">
        <v>281</v>
      </c>
      <c r="E719" s="123"/>
      <c r="F719" s="124"/>
      <c r="G719" s="9"/>
      <c r="H719" s="10"/>
      <c r="I719" s="39"/>
      <c r="J719" s="622">
        <v>281900</v>
      </c>
      <c r="K719" s="228"/>
      <c r="L719" s="122"/>
    </row>
    <row r="720" spans="2:12">
      <c r="B720" s="252">
        <v>44098</v>
      </c>
      <c r="C720" s="221"/>
      <c r="D720" s="222" t="s">
        <v>286</v>
      </c>
      <c r="E720" s="123"/>
      <c r="F720" s="124"/>
      <c r="G720" s="9"/>
      <c r="H720" s="10"/>
      <c r="I720" s="39"/>
      <c r="J720" s="622">
        <v>236900</v>
      </c>
      <c r="K720" s="228"/>
      <c r="L720" s="122"/>
    </row>
    <row r="721" spans="2:13">
      <c r="B721" s="252" t="s">
        <v>301</v>
      </c>
      <c r="C721" s="253"/>
      <c r="D721" s="254" t="s">
        <v>299</v>
      </c>
      <c r="E721" s="123"/>
      <c r="F721" s="124"/>
      <c r="G721" s="9"/>
      <c r="H721" s="10"/>
      <c r="I721" s="39"/>
      <c r="J721" s="219">
        <v>220200</v>
      </c>
      <c r="K721" s="228"/>
      <c r="L721" s="122"/>
    </row>
    <row r="722" spans="2:13">
      <c r="B722" s="252"/>
      <c r="C722" s="253"/>
      <c r="D722" s="254"/>
      <c r="E722" s="123"/>
      <c r="F722" s="124"/>
      <c r="G722" s="9"/>
      <c r="H722" s="10"/>
      <c r="I722" s="39"/>
      <c r="J722" s="219"/>
      <c r="K722" s="228"/>
      <c r="L722" s="122"/>
    </row>
    <row r="723" spans="2:13">
      <c r="B723" s="204"/>
      <c r="C723" s="58"/>
      <c r="D723" s="58"/>
      <c r="E723" s="123"/>
      <c r="F723" s="124"/>
      <c r="G723" s="9"/>
      <c r="H723" s="10"/>
      <c r="I723" s="39"/>
      <c r="J723" s="219"/>
      <c r="K723" s="228"/>
      <c r="L723" s="122"/>
    </row>
    <row r="724" spans="2:13">
      <c r="B724" s="204"/>
      <c r="C724" s="58"/>
      <c r="D724" s="58"/>
      <c r="E724" s="123"/>
      <c r="F724" s="124"/>
      <c r="G724" s="9"/>
      <c r="H724" s="10"/>
      <c r="I724" s="39"/>
      <c r="J724" s="219"/>
      <c r="K724" s="228"/>
      <c r="L724" s="122"/>
    </row>
    <row r="725" spans="2:13">
      <c r="B725" s="204"/>
      <c r="C725" s="58"/>
      <c r="D725" s="58"/>
      <c r="E725" s="123"/>
      <c r="F725" s="124"/>
      <c r="G725" s="9"/>
      <c r="H725" s="10"/>
      <c r="I725" s="39"/>
      <c r="J725" s="219"/>
      <c r="K725" s="228"/>
      <c r="L725" s="122"/>
    </row>
    <row r="726" spans="2:13">
      <c r="B726" s="204"/>
      <c r="C726" s="58"/>
      <c r="D726" s="58"/>
      <c r="E726" s="123"/>
      <c r="F726" s="124"/>
      <c r="G726" s="9"/>
      <c r="H726" s="10"/>
      <c r="I726" s="39"/>
      <c r="J726" s="219"/>
      <c r="K726" s="228"/>
      <c r="L726" s="122"/>
    </row>
    <row r="727" spans="2:13">
      <c r="B727" s="204"/>
      <c r="C727" s="58"/>
      <c r="D727" s="58"/>
      <c r="E727" s="123"/>
      <c r="F727" s="124"/>
      <c r="G727" s="9"/>
      <c r="H727" s="10"/>
      <c r="I727" s="39"/>
      <c r="J727" s="219"/>
      <c r="K727" s="228"/>
      <c r="L727" s="122"/>
    </row>
    <row r="728" spans="2:13">
      <c r="B728" s="204"/>
      <c r="C728" s="58"/>
      <c r="D728" s="58"/>
      <c r="E728" s="123"/>
      <c r="F728" s="124"/>
      <c r="G728" s="9"/>
      <c r="H728" s="10"/>
      <c r="I728" s="39"/>
      <c r="J728" s="219"/>
      <c r="K728" s="228"/>
      <c r="L728" s="122"/>
    </row>
    <row r="729" spans="2:13">
      <c r="B729" s="204"/>
      <c r="C729" s="58"/>
      <c r="D729" s="58"/>
      <c r="E729" s="123"/>
      <c r="F729" s="124"/>
      <c r="G729" s="9"/>
      <c r="H729" s="10"/>
      <c r="I729" s="39"/>
      <c r="J729" s="219"/>
      <c r="K729" s="228"/>
      <c r="L729" s="122"/>
    </row>
    <row r="730" spans="2:13" ht="15.75">
      <c r="B730" s="202"/>
      <c r="C730" s="135" t="s">
        <v>91</v>
      </c>
      <c r="D730" s="135" t="s">
        <v>92</v>
      </c>
      <c r="E730" s="137">
        <f>'PROYECCION 2020'!C60</f>
        <v>7200000</v>
      </c>
      <c r="F730" s="138">
        <f>SUM(F731:F739)</f>
        <v>0</v>
      </c>
      <c r="G730" s="138">
        <f>SUM(G731:G746)</f>
        <v>0</v>
      </c>
      <c r="H730" s="138">
        <f>SUM(H731:H746)</f>
        <v>0</v>
      </c>
      <c r="I730" s="139">
        <f>ROUND((E730+F730+G730-H730),0)</f>
        <v>7200000</v>
      </c>
      <c r="J730" s="389">
        <f>SUM(J731:J746)</f>
        <v>4178200</v>
      </c>
      <c r="K730" s="227">
        <f>I730-J730</f>
        <v>3021800</v>
      </c>
      <c r="L730" s="122"/>
    </row>
    <row r="731" spans="2:13">
      <c r="B731" s="204">
        <v>44188</v>
      </c>
      <c r="C731" s="58"/>
      <c r="D731" s="58" t="s">
        <v>104</v>
      </c>
      <c r="E731" s="123"/>
      <c r="F731" s="124"/>
      <c r="G731" s="9"/>
      <c r="H731" s="10"/>
      <c r="I731" s="39"/>
      <c r="J731" s="622">
        <v>348900</v>
      </c>
      <c r="K731" s="228"/>
      <c r="L731" s="122"/>
    </row>
    <row r="732" spans="2:13">
      <c r="B732" s="252">
        <v>43887</v>
      </c>
      <c r="C732" s="221"/>
      <c r="D732" s="254" t="s">
        <v>105</v>
      </c>
      <c r="E732" s="123"/>
      <c r="F732" s="124"/>
      <c r="G732" s="9"/>
      <c r="H732" s="10"/>
      <c r="I732" s="39"/>
      <c r="J732" s="622">
        <v>400600</v>
      </c>
      <c r="K732" s="228"/>
      <c r="L732" s="122"/>
    </row>
    <row r="733" spans="2:13">
      <c r="B733" s="204">
        <v>43914</v>
      </c>
      <c r="C733" s="58"/>
      <c r="D733" s="58" t="s">
        <v>106</v>
      </c>
      <c r="E733" s="123"/>
      <c r="F733" s="124"/>
      <c r="G733" s="9"/>
      <c r="H733" s="10"/>
      <c r="I733" s="39"/>
      <c r="J733" s="622">
        <v>365800</v>
      </c>
      <c r="K733" s="228"/>
      <c r="L733" s="122"/>
      <c r="M733" s="558"/>
    </row>
    <row r="734" spans="2:13">
      <c r="B734" s="252">
        <v>43945</v>
      </c>
      <c r="C734" s="221"/>
      <c r="D734" s="254" t="s">
        <v>107</v>
      </c>
      <c r="E734" s="123"/>
      <c r="F734" s="124"/>
      <c r="G734" s="9"/>
      <c r="H734" s="10"/>
      <c r="I734" s="39"/>
      <c r="J734" s="622">
        <v>380400</v>
      </c>
      <c r="K734" s="228"/>
      <c r="L734" s="122"/>
    </row>
    <row r="735" spans="2:13">
      <c r="B735" s="252">
        <v>43978</v>
      </c>
      <c r="C735" s="221"/>
      <c r="D735" s="254" t="s">
        <v>243</v>
      </c>
      <c r="E735" s="123"/>
      <c r="F735" s="124"/>
      <c r="G735" s="9"/>
      <c r="H735" s="10"/>
      <c r="I735" s="39"/>
      <c r="J735" s="622">
        <v>385100</v>
      </c>
      <c r="K735" s="228"/>
      <c r="L735" s="122"/>
    </row>
    <row r="736" spans="2:13">
      <c r="B736" s="252">
        <v>44006</v>
      </c>
      <c r="C736" s="221"/>
      <c r="D736" s="254" t="s">
        <v>249</v>
      </c>
      <c r="E736" s="123"/>
      <c r="F736" s="124"/>
      <c r="G736" s="9"/>
      <c r="H736" s="10"/>
      <c r="I736" s="39"/>
      <c r="J736" s="622">
        <v>385100</v>
      </c>
      <c r="K736" s="228"/>
      <c r="L736" s="122"/>
    </row>
    <row r="737" spans="2:12">
      <c r="B737" s="204">
        <v>44036</v>
      </c>
      <c r="C737" s="58"/>
      <c r="D737" s="58" t="s">
        <v>267</v>
      </c>
      <c r="E737" s="123"/>
      <c r="F737" s="124"/>
      <c r="G737" s="9"/>
      <c r="H737" s="10"/>
      <c r="I737" s="39"/>
      <c r="J737" s="636">
        <v>430800</v>
      </c>
      <c r="K737" s="228"/>
      <c r="L737" s="122"/>
    </row>
    <row r="738" spans="2:12">
      <c r="B738" s="204">
        <v>44046</v>
      </c>
      <c r="C738" s="58"/>
      <c r="D738" s="58" t="s">
        <v>278</v>
      </c>
      <c r="E738" s="123"/>
      <c r="F738" s="124"/>
      <c r="G738" s="9"/>
      <c r="H738" s="10"/>
      <c r="I738" s="39"/>
      <c r="J738" s="622">
        <v>4600</v>
      </c>
      <c r="K738" s="228"/>
      <c r="L738" s="122"/>
    </row>
    <row r="739" spans="2:12">
      <c r="B739" s="252">
        <v>44067</v>
      </c>
      <c r="C739" s="221"/>
      <c r="D739" s="222" t="s">
        <v>281</v>
      </c>
      <c r="E739" s="123"/>
      <c r="F739" s="124"/>
      <c r="G739" s="9"/>
      <c r="H739" s="10"/>
      <c r="I739" s="39"/>
      <c r="J739" s="622">
        <v>563600</v>
      </c>
      <c r="K739" s="228"/>
      <c r="L739" s="122"/>
    </row>
    <row r="740" spans="2:12">
      <c r="B740" s="252">
        <v>44098</v>
      </c>
      <c r="C740" s="221"/>
      <c r="D740" s="222" t="s">
        <v>286</v>
      </c>
      <c r="E740" s="123"/>
      <c r="F740" s="124"/>
      <c r="G740" s="9"/>
      <c r="H740" s="10"/>
      <c r="I740" s="39"/>
      <c r="J740" s="622">
        <v>473400</v>
      </c>
      <c r="K740" s="228"/>
      <c r="L740" s="122"/>
    </row>
    <row r="741" spans="2:12">
      <c r="B741" s="252" t="s">
        <v>301</v>
      </c>
      <c r="C741" s="253"/>
      <c r="D741" s="254" t="s">
        <v>299</v>
      </c>
      <c r="E741" s="123"/>
      <c r="F741" s="124"/>
      <c r="G741" s="9"/>
      <c r="H741" s="10"/>
      <c r="I741" s="39"/>
      <c r="J741" s="219">
        <v>439900</v>
      </c>
      <c r="K741" s="228"/>
      <c r="L741" s="122"/>
    </row>
    <row r="742" spans="2:12">
      <c r="B742" s="252"/>
      <c r="C742" s="253"/>
      <c r="D742" s="254"/>
      <c r="E742" s="123"/>
      <c r="F742" s="124"/>
      <c r="G742" s="9"/>
      <c r="H742" s="10"/>
      <c r="I742" s="39"/>
      <c r="J742" s="219"/>
      <c r="K742" s="228"/>
      <c r="L742" s="122"/>
    </row>
    <row r="743" spans="2:12">
      <c r="B743" s="204"/>
      <c r="C743" s="58"/>
      <c r="D743" s="58"/>
      <c r="E743" s="123"/>
      <c r="F743" s="124"/>
      <c r="G743" s="9"/>
      <c r="H743" s="10"/>
      <c r="I743" s="39"/>
      <c r="J743" s="219"/>
      <c r="K743" s="228"/>
      <c r="L743" s="122"/>
    </row>
    <row r="744" spans="2:12">
      <c r="B744" s="204"/>
      <c r="C744" s="58"/>
      <c r="D744" s="58"/>
      <c r="E744" s="123"/>
      <c r="F744" s="124"/>
      <c r="G744" s="9"/>
      <c r="H744" s="10"/>
      <c r="I744" s="39"/>
      <c r="J744" s="219"/>
      <c r="K744" s="228"/>
      <c r="L744" s="122"/>
    </row>
    <row r="745" spans="2:12">
      <c r="B745" s="204"/>
      <c r="C745" s="58"/>
      <c r="D745" s="58"/>
      <c r="E745" s="123"/>
      <c r="F745" s="124"/>
      <c r="G745" s="9"/>
      <c r="H745" s="10"/>
      <c r="I745" s="39"/>
      <c r="J745" s="219"/>
      <c r="K745" s="228"/>
      <c r="L745" s="122"/>
    </row>
    <row r="746" spans="2:12">
      <c r="B746" s="204"/>
      <c r="C746" s="58"/>
      <c r="D746" s="58"/>
      <c r="E746" s="123"/>
      <c r="F746" s="124"/>
      <c r="G746" s="9"/>
      <c r="H746" s="10"/>
      <c r="I746" s="39"/>
      <c r="J746" s="219"/>
      <c r="K746" s="228"/>
      <c r="L746" s="122"/>
    </row>
    <row r="747" spans="2:12" ht="15.75">
      <c r="B747" s="202"/>
      <c r="C747" s="135" t="s">
        <v>93</v>
      </c>
      <c r="D747" s="135" t="s">
        <v>94</v>
      </c>
      <c r="E747" s="137">
        <v>0</v>
      </c>
      <c r="F747" s="139">
        <f>SUM(F748:F755)</f>
        <v>0</v>
      </c>
      <c r="G747" s="139">
        <f>SUM(G748:G755)</f>
        <v>0</v>
      </c>
      <c r="H747" s="139">
        <f>SUM(H748:H755)</f>
        <v>0</v>
      </c>
      <c r="I747" s="139">
        <f>ROUND((E747+F747+G747-H747),0)</f>
        <v>0</v>
      </c>
      <c r="J747" s="389">
        <f>E747+F747+G747-H747</f>
        <v>0</v>
      </c>
      <c r="K747" s="239">
        <f>I747-J747</f>
        <v>0</v>
      </c>
      <c r="L747" s="122"/>
    </row>
    <row r="748" spans="2:12">
      <c r="B748" s="204"/>
      <c r="C748" s="58"/>
      <c r="D748" s="58"/>
      <c r="E748" s="123"/>
      <c r="F748" s="124"/>
      <c r="G748" s="9"/>
      <c r="H748" s="10"/>
      <c r="I748" s="39"/>
      <c r="J748" s="219"/>
      <c r="K748" s="228"/>
      <c r="L748" s="122"/>
    </row>
    <row r="749" spans="2:12">
      <c r="B749" s="204"/>
      <c r="C749" s="58"/>
      <c r="D749" s="58"/>
      <c r="E749" s="123"/>
      <c r="F749" s="124"/>
      <c r="G749" s="9"/>
      <c r="H749" s="10"/>
      <c r="I749" s="39"/>
      <c r="J749" s="219"/>
      <c r="K749" s="228"/>
      <c r="L749" s="122"/>
    </row>
    <row r="750" spans="2:12">
      <c r="B750" s="204"/>
      <c r="C750" s="58"/>
      <c r="D750" s="58"/>
      <c r="E750" s="123"/>
      <c r="F750" s="124"/>
      <c r="G750" s="9"/>
      <c r="H750" s="10"/>
      <c r="I750" s="39"/>
      <c r="J750" s="219"/>
      <c r="K750" s="228"/>
      <c r="L750" s="122"/>
    </row>
    <row r="751" spans="2:12">
      <c r="B751" s="204"/>
      <c r="C751" s="58"/>
      <c r="D751" s="58"/>
      <c r="E751" s="123"/>
      <c r="F751" s="124"/>
      <c r="G751" s="9"/>
      <c r="H751" s="10"/>
      <c r="I751" s="39"/>
      <c r="J751" s="219"/>
      <c r="K751" s="228"/>
      <c r="L751" s="122"/>
    </row>
    <row r="752" spans="2:12">
      <c r="B752" s="204"/>
      <c r="C752" s="58"/>
      <c r="D752" s="58"/>
      <c r="E752" s="123"/>
      <c r="F752" s="124"/>
      <c r="G752" s="9"/>
      <c r="H752" s="10"/>
      <c r="I752" s="39"/>
      <c r="J752" s="219"/>
      <c r="K752" s="228"/>
      <c r="L752" s="122"/>
    </row>
    <row r="753" spans="2:12">
      <c r="B753" s="204"/>
      <c r="C753" s="58"/>
      <c r="D753" s="58"/>
      <c r="E753" s="123"/>
      <c r="F753" s="124"/>
      <c r="G753" s="9"/>
      <c r="H753" s="10"/>
      <c r="I753" s="39"/>
      <c r="J753" s="219"/>
      <c r="K753" s="228"/>
      <c r="L753" s="122"/>
    </row>
    <row r="754" spans="2:12">
      <c r="B754" s="204"/>
      <c r="C754" s="58"/>
      <c r="D754" s="58"/>
      <c r="E754" s="123"/>
      <c r="F754" s="124"/>
      <c r="G754" s="9"/>
      <c r="H754" s="10"/>
      <c r="I754" s="39"/>
      <c r="J754" s="219"/>
      <c r="K754" s="228"/>
      <c r="L754" s="122"/>
    </row>
    <row r="755" spans="2:12">
      <c r="B755" s="204"/>
      <c r="C755" s="58"/>
      <c r="D755" s="58"/>
      <c r="E755" s="123"/>
      <c r="F755" s="124"/>
      <c r="G755" s="9"/>
      <c r="H755" s="10"/>
      <c r="I755" s="39"/>
      <c r="J755" s="219"/>
      <c r="K755" s="228"/>
      <c r="L755" s="122"/>
    </row>
    <row r="756" spans="2:12" ht="15.75">
      <c r="B756" s="216"/>
      <c r="C756" s="166">
        <v>20201301</v>
      </c>
      <c r="D756" s="167" t="s">
        <v>95</v>
      </c>
      <c r="E756" s="168">
        <f t="shared" ref="E756:J756" si="6">E757</f>
        <v>75000000</v>
      </c>
      <c r="F756" s="167">
        <f t="shared" si="6"/>
        <v>0</v>
      </c>
      <c r="G756" s="167">
        <f t="shared" si="6"/>
        <v>0</v>
      </c>
      <c r="H756" s="167">
        <f t="shared" si="6"/>
        <v>12000000</v>
      </c>
      <c r="I756" s="167">
        <f t="shared" si="6"/>
        <v>63000000</v>
      </c>
      <c r="J756" s="403">
        <f t="shared" si="6"/>
        <v>62645000</v>
      </c>
      <c r="K756" s="519">
        <f>I756-J756</f>
        <v>355000</v>
      </c>
      <c r="L756" s="122"/>
    </row>
    <row r="757" spans="2:12" ht="15.75">
      <c r="B757" s="202"/>
      <c r="C757" s="135">
        <v>2020130101</v>
      </c>
      <c r="D757" s="135" t="s">
        <v>142</v>
      </c>
      <c r="E757" s="139">
        <f>'PROYECCION 2020'!C63</f>
        <v>75000000</v>
      </c>
      <c r="F757" s="138">
        <f>SUM(F758:F770)</f>
        <v>0</v>
      </c>
      <c r="G757" s="138">
        <f>SUM(G758:G770)</f>
        <v>0</v>
      </c>
      <c r="H757" s="138">
        <f>SUM(H758:H770)</f>
        <v>12000000</v>
      </c>
      <c r="I757" s="190">
        <f>E757+F757+G757-H757</f>
        <v>63000000</v>
      </c>
      <c r="J757" s="389">
        <f>SUM(J758:J770)</f>
        <v>62645000</v>
      </c>
      <c r="K757" s="239">
        <f>I757-J757</f>
        <v>355000</v>
      </c>
      <c r="L757" s="122"/>
    </row>
    <row r="758" spans="2:12">
      <c r="B758" s="297">
        <v>43921</v>
      </c>
      <c r="C758" s="298"/>
      <c r="D758" s="298" t="s">
        <v>213</v>
      </c>
      <c r="E758" s="185"/>
      <c r="F758" s="186"/>
      <c r="G758" s="187"/>
      <c r="H758" s="188"/>
      <c r="I758" s="189"/>
      <c r="J758" s="630">
        <v>31645000</v>
      </c>
      <c r="K758" s="240"/>
      <c r="L758" s="122"/>
    </row>
    <row r="759" spans="2:12">
      <c r="B759" s="297">
        <v>44001</v>
      </c>
      <c r="C759" s="298"/>
      <c r="D759" s="298" t="s">
        <v>213</v>
      </c>
      <c r="E759" s="185"/>
      <c r="F759" s="186"/>
      <c r="G759" s="187"/>
      <c r="H759" s="188"/>
      <c r="I759" s="189"/>
      <c r="J759" s="630">
        <v>31000000</v>
      </c>
      <c r="K759" s="240"/>
      <c r="L759" s="122"/>
    </row>
    <row r="760" spans="2:12">
      <c r="B760" s="220">
        <v>44109</v>
      </c>
      <c r="C760" s="221"/>
      <c r="D760" s="222" t="s">
        <v>307</v>
      </c>
      <c r="E760" s="185"/>
      <c r="F760" s="186"/>
      <c r="G760" s="187"/>
      <c r="H760" s="188">
        <v>12000000</v>
      </c>
      <c r="I760" s="189"/>
      <c r="J760" s="250"/>
      <c r="K760" s="240"/>
      <c r="L760" s="122"/>
    </row>
    <row r="761" spans="2:12">
      <c r="B761" s="204"/>
      <c r="C761" s="58"/>
      <c r="D761" s="122"/>
      <c r="E761" s="185"/>
      <c r="F761" s="186"/>
      <c r="G761" s="187"/>
      <c r="H761" s="188"/>
      <c r="I761" s="189"/>
      <c r="J761" s="250"/>
      <c r="K761" s="240"/>
      <c r="L761" s="122"/>
    </row>
    <row r="762" spans="2:12">
      <c r="B762" s="217"/>
      <c r="C762" s="184"/>
      <c r="D762" s="406"/>
      <c r="E762" s="185"/>
      <c r="F762" s="186"/>
      <c r="G762" s="187"/>
      <c r="H762" s="188"/>
      <c r="I762" s="189"/>
      <c r="J762" s="250"/>
      <c r="K762" s="240"/>
      <c r="L762" s="122"/>
    </row>
    <row r="763" spans="2:12">
      <c r="B763" s="217"/>
      <c r="C763" s="184"/>
      <c r="D763" s="406"/>
      <c r="E763" s="185"/>
      <c r="F763" s="186"/>
      <c r="G763" s="187"/>
      <c r="H763" s="188"/>
      <c r="I763" s="189"/>
      <c r="J763" s="250"/>
      <c r="K763" s="240"/>
      <c r="L763" s="122"/>
    </row>
    <row r="764" spans="2:12">
      <c r="B764" s="217"/>
      <c r="C764" s="184"/>
      <c r="D764" s="406"/>
      <c r="E764" s="185"/>
      <c r="F764" s="186"/>
      <c r="G764" s="187"/>
      <c r="H764" s="188"/>
      <c r="I764" s="189"/>
      <c r="J764" s="250"/>
      <c r="K764" s="240"/>
      <c r="L764" s="122"/>
    </row>
    <row r="765" spans="2:12">
      <c r="B765" s="217"/>
      <c r="C765" s="184"/>
      <c r="D765" s="406"/>
      <c r="E765" s="185"/>
      <c r="F765" s="186"/>
      <c r="G765" s="187"/>
      <c r="H765" s="188"/>
      <c r="I765" s="189"/>
      <c r="J765" s="250"/>
      <c r="K765" s="240"/>
      <c r="L765" s="122"/>
    </row>
    <row r="766" spans="2:12">
      <c r="B766" s="252"/>
      <c r="C766" s="253"/>
      <c r="D766" s="254"/>
      <c r="E766" s="185"/>
      <c r="F766" s="186"/>
      <c r="G766" s="187"/>
      <c r="H766" s="188"/>
      <c r="I766" s="189"/>
      <c r="J766" s="250"/>
      <c r="K766" s="240"/>
      <c r="L766" s="122"/>
    </row>
    <row r="767" spans="2:12">
      <c r="B767" s="204"/>
      <c r="C767" s="58"/>
      <c r="D767" s="58"/>
      <c r="E767" s="185"/>
      <c r="F767" s="186"/>
      <c r="G767" s="187"/>
      <c r="H767" s="188"/>
      <c r="I767" s="189"/>
      <c r="J767" s="250"/>
      <c r="K767" s="240"/>
      <c r="L767" s="122"/>
    </row>
    <row r="768" spans="2:12">
      <c r="B768" s="217"/>
      <c r="C768" s="184"/>
      <c r="D768" s="406"/>
      <c r="E768" s="185"/>
      <c r="F768" s="186"/>
      <c r="G768" s="187"/>
      <c r="H768" s="188"/>
      <c r="I768" s="189"/>
      <c r="J768" s="250"/>
      <c r="K768" s="240"/>
      <c r="L768" s="122"/>
    </row>
    <row r="769" spans="2:13">
      <c r="B769" s="217"/>
      <c r="C769" s="184"/>
      <c r="D769" s="406"/>
      <c r="E769" s="185"/>
      <c r="F769" s="186"/>
      <c r="G769" s="187"/>
      <c r="H769" s="188"/>
      <c r="I769" s="189"/>
      <c r="J769" s="250"/>
      <c r="K769" s="240"/>
      <c r="L769" s="122"/>
    </row>
    <row r="770" spans="2:13" ht="20.25" customHeight="1">
      <c r="B770" s="217"/>
      <c r="C770" s="184"/>
      <c r="D770" s="184"/>
      <c r="E770" s="192"/>
      <c r="F770" s="193"/>
      <c r="G770" s="194"/>
      <c r="H770" s="195"/>
      <c r="I770" s="196"/>
      <c r="J770" s="404"/>
      <c r="K770" s="241"/>
      <c r="L770" s="122"/>
    </row>
    <row r="771" spans="2:13" ht="18.75" thickBot="1">
      <c r="B771" s="218"/>
      <c r="C771" s="159"/>
      <c r="D771" s="159" t="s">
        <v>191</v>
      </c>
      <c r="E771" s="197">
        <f>E756+E613+E560+E225+E186+E158+E3</f>
        <v>1155126065</v>
      </c>
      <c r="F771" s="197">
        <f>F613+F560+F225+F186+F158+F3+F756</f>
        <v>167244166</v>
      </c>
      <c r="G771" s="197">
        <f>G613+G560+G225+G186+G158+G3+G757</f>
        <v>289000000</v>
      </c>
      <c r="H771" s="197">
        <f>H613+H560+H225+H186+H158+H3+H756</f>
        <v>289000000</v>
      </c>
      <c r="I771" s="197">
        <f>E771+F771</f>
        <v>1322370231</v>
      </c>
      <c r="J771" s="197">
        <f>J756+J613+J560+J225+J186+J158+J3</f>
        <v>857327738.44652772</v>
      </c>
      <c r="K771" s="242">
        <f>I771-J771</f>
        <v>465042492.55347228</v>
      </c>
      <c r="L771" s="122"/>
      <c r="M771" s="191"/>
    </row>
    <row r="773" spans="2:13">
      <c r="G773" s="191">
        <f>G771-H771</f>
        <v>0</v>
      </c>
      <c r="I773" s="191"/>
      <c r="K773" s="26"/>
    </row>
    <row r="774" spans="2:13">
      <c r="I774" s="26"/>
      <c r="K774" s="191"/>
      <c r="L774" s="26"/>
    </row>
    <row r="776" spans="2:13">
      <c r="I776" s="26"/>
    </row>
    <row r="779" spans="2:13">
      <c r="I779" s="26"/>
    </row>
  </sheetData>
  <autoFilter ref="A248:K377"/>
  <printOptions horizontalCentered="1" verticalCentered="1"/>
  <pageMargins left="0.19685039370078741" right="0.31496062992125984" top="0.15748031496062992" bottom="0.59055118110236227" header="0" footer="0.39370078740157483"/>
  <pageSetup paperSize="14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tabSelected="1" zoomScale="80" zoomScaleNormal="80" zoomScaleSheetLayoutView="80" workbookViewId="0">
      <pane xSplit="2" ySplit="7" topLeftCell="C8" activePane="bottomRight" state="frozen"/>
      <selection activeCell="J677" sqref="J677"/>
      <selection pane="topRight" activeCell="J677" sqref="J677"/>
      <selection pane="bottomLeft" activeCell="J677" sqref="J677"/>
      <selection pane="bottomRight" activeCell="C13" sqref="C13"/>
    </sheetView>
  </sheetViews>
  <sheetFormatPr baseColWidth="10" defaultRowHeight="14.25"/>
  <cols>
    <col min="1" max="1" width="16" style="383" customWidth="1"/>
    <col min="2" max="2" width="35.25" style="1" customWidth="1"/>
    <col min="3" max="3" width="18.125" style="1" bestFit="1" customWidth="1"/>
    <col min="4" max="4" width="13.5" style="1" bestFit="1" customWidth="1"/>
    <col min="5" max="6" width="14.75" style="1" bestFit="1" customWidth="1"/>
    <col min="7" max="7" width="15.125" style="1" bestFit="1" customWidth="1"/>
    <col min="8" max="8" width="17.875" style="1" bestFit="1" customWidth="1"/>
    <col min="9" max="9" width="17.125" style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5.75" style="384" customWidth="1"/>
    <col min="14" max="14" width="16.875" style="1" bestFit="1" customWidth="1"/>
    <col min="15" max="15" width="8.5" style="1" customWidth="1"/>
    <col min="16" max="16" width="16.5" style="1" customWidth="1"/>
    <col min="17" max="17" width="20.625" style="1" customWidth="1"/>
    <col min="18" max="18" width="14.875" style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>
      <c r="A1" s="679" t="s">
        <v>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17"/>
      <c r="Q1" s="617"/>
      <c r="R1" s="617"/>
    </row>
    <row r="2" spans="1:18" ht="18">
      <c r="A2" s="680" t="s">
        <v>156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18"/>
      <c r="Q2" s="618"/>
      <c r="R2" s="618"/>
    </row>
    <row r="3" spans="1:18" ht="18">
      <c r="A3" s="680" t="s">
        <v>302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18"/>
      <c r="Q3" s="618"/>
      <c r="R3" s="618"/>
    </row>
    <row r="4" spans="1:18" ht="18.75" thickBot="1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2"/>
      <c r="N4" s="300"/>
      <c r="O4" s="303"/>
    </row>
    <row r="5" spans="1:18" s="537" customFormat="1" ht="23.25" customHeight="1">
      <c r="A5" s="569" t="s">
        <v>157</v>
      </c>
      <c r="B5" s="570" t="s">
        <v>1</v>
      </c>
      <c r="C5" s="660" t="s">
        <v>254</v>
      </c>
      <c r="D5" s="533" t="s">
        <v>159</v>
      </c>
      <c r="E5" s="661" t="s">
        <v>160</v>
      </c>
      <c r="F5" s="661" t="s">
        <v>2</v>
      </c>
      <c r="G5" s="660" t="s">
        <v>161</v>
      </c>
      <c r="H5" s="533" t="s">
        <v>162</v>
      </c>
      <c r="I5" s="661" t="s">
        <v>207</v>
      </c>
      <c r="J5" s="660" t="s">
        <v>164</v>
      </c>
      <c r="K5" s="681" t="s">
        <v>165</v>
      </c>
      <c r="L5" s="535" t="s">
        <v>162</v>
      </c>
      <c r="M5" s="535"/>
      <c r="N5" s="660" t="s">
        <v>166</v>
      </c>
      <c r="O5" s="536" t="s">
        <v>165</v>
      </c>
      <c r="P5" s="533" t="s">
        <v>226</v>
      </c>
      <c r="Q5" s="533" t="s">
        <v>227</v>
      </c>
      <c r="R5" s="533" t="s">
        <v>228</v>
      </c>
    </row>
    <row r="6" spans="1:18" s="537" customFormat="1" ht="23.25" customHeight="1" thickBot="1">
      <c r="A6" s="571"/>
      <c r="B6" s="572"/>
      <c r="C6" s="573" t="s">
        <v>3</v>
      </c>
      <c r="D6" s="574"/>
      <c r="E6" s="575"/>
      <c r="F6" s="575"/>
      <c r="G6" s="573" t="s">
        <v>2</v>
      </c>
      <c r="H6" s="574" t="s">
        <v>158</v>
      </c>
      <c r="I6" s="576" t="s">
        <v>167</v>
      </c>
      <c r="J6" s="573" t="s">
        <v>168</v>
      </c>
      <c r="K6" s="682"/>
      <c r="L6" s="577" t="s">
        <v>255</v>
      </c>
      <c r="M6" s="577" t="s">
        <v>231</v>
      </c>
      <c r="N6" s="573" t="s">
        <v>170</v>
      </c>
      <c r="O6" s="578"/>
      <c r="P6" s="574" t="s">
        <v>253</v>
      </c>
      <c r="Q6" s="574" t="s">
        <v>229</v>
      </c>
      <c r="R6" s="574" t="s">
        <v>230</v>
      </c>
    </row>
    <row r="7" spans="1:18" ht="1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4"/>
      <c r="N7" s="325"/>
      <c r="O7" s="326"/>
      <c r="P7" s="566"/>
      <c r="Q7" s="566"/>
      <c r="R7" s="566"/>
    </row>
    <row r="8" spans="1:18" s="333" customFormat="1" ht="27.75" customHeight="1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167244166</v>
      </c>
      <c r="F8" s="329">
        <f t="shared" si="0"/>
        <v>0</v>
      </c>
      <c r="G8" s="329">
        <f>SUM(G9:G17)</f>
        <v>190900000</v>
      </c>
      <c r="H8" s="329">
        <f t="shared" si="0"/>
        <v>626721490</v>
      </c>
      <c r="I8" s="329">
        <f t="shared" si="0"/>
        <v>407913786.44652778</v>
      </c>
      <c r="J8" s="329">
        <f>SUM(J9:J17)</f>
        <v>48888702</v>
      </c>
      <c r="K8" s="330">
        <f t="shared" ref="K8:K19" si="1">L8/H8</f>
        <v>0.72887637608617473</v>
      </c>
      <c r="L8" s="331">
        <f>SUM(L9:L17)</f>
        <v>456802488.44652778</v>
      </c>
      <c r="M8" s="331">
        <f>SUM(M9:M17)</f>
        <v>456802488.44652778</v>
      </c>
      <c r="N8" s="329">
        <f>SUM(N9:N17)</f>
        <v>169919001.55347222</v>
      </c>
      <c r="O8" s="332">
        <f>N8/H8</f>
        <v>0.27112362391382527</v>
      </c>
      <c r="P8" s="329">
        <f>SUM(P9:P17)</f>
        <v>456802488.44652778</v>
      </c>
      <c r="Q8" s="329">
        <f>SUM(Q9:Q17)</f>
        <v>0</v>
      </c>
      <c r="R8" s="329">
        <f>SUM(R9:R17)</f>
        <v>0</v>
      </c>
    </row>
    <row r="9" spans="1:18" ht="1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PRESUPUESTO'!H7+'LIBRO DE PRESUPUESTO'!H12+'LIBRO DE PRESUPUESTO'!H15+'LIBRO DE PRESUPUESTO'!H21+'LIBRO DE PRESUPUESTO'!H25</f>
        <v>162900000</v>
      </c>
      <c r="H9" s="341">
        <f>C9-D9+E9+F9-G9</f>
        <v>325331324</v>
      </c>
      <c r="I9" s="342">
        <f>SEPTIEMBRE!I9+SEPTIEMBRE!J9</f>
        <v>267764249</v>
      </c>
      <c r="J9" s="4">
        <v>0</v>
      </c>
      <c r="K9" s="343">
        <f t="shared" si="1"/>
        <v>0.82305093068751045</v>
      </c>
      <c r="L9" s="344">
        <f t="shared" ref="L9:L15" si="2">J9+I9</f>
        <v>267764249</v>
      </c>
      <c r="M9" s="522">
        <f>I9+J9</f>
        <v>267764249</v>
      </c>
      <c r="N9" s="345">
        <f t="shared" ref="N9:N61" si="3">H9-L9</f>
        <v>57567075</v>
      </c>
      <c r="O9" s="346">
        <f>N9/H9</f>
        <v>0.17694906931248958</v>
      </c>
      <c r="P9" s="567">
        <f>M9</f>
        <v>267764249</v>
      </c>
      <c r="Q9" s="567">
        <f>M9-P9</f>
        <v>0</v>
      </c>
      <c r="R9" s="567">
        <f>L9-M9</f>
        <v>0</v>
      </c>
    </row>
    <row r="10" spans="1:18" ht="15">
      <c r="A10" s="334">
        <v>202110101</v>
      </c>
      <c r="B10" s="335" t="s">
        <v>217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f>SEPTIEMBRE!I10+SEPTIEMBRE!J10</f>
        <v>98336010</v>
      </c>
      <c r="J10" s="4">
        <f>'LIBRO DE PRESUPUESTO'!J26</f>
        <v>43932280</v>
      </c>
      <c r="K10" s="343">
        <f t="shared" si="1"/>
        <v>0.85066219888351746</v>
      </c>
      <c r="L10" s="344">
        <f t="shared" si="2"/>
        <v>142268290</v>
      </c>
      <c r="M10" s="522">
        <f t="shared" ref="M10:M17" si="4">I10+J10</f>
        <v>142268290</v>
      </c>
      <c r="N10" s="345">
        <f t="shared" si="3"/>
        <v>24975876</v>
      </c>
      <c r="O10" s="346">
        <f>N10/H10</f>
        <v>0.14933780111648259</v>
      </c>
      <c r="P10" s="567">
        <f>L10</f>
        <v>142268290</v>
      </c>
      <c r="Q10" s="567">
        <f t="shared" ref="Q10:Q17" si="5">M10-P10</f>
        <v>0</v>
      </c>
      <c r="R10" s="567">
        <f t="shared" ref="R10:R17" si="6">L10-M10</f>
        <v>0</v>
      </c>
    </row>
    <row r="11" spans="1:18" ht="15">
      <c r="A11" s="334">
        <v>202110103</v>
      </c>
      <c r="B11" s="335" t="s">
        <v>11</v>
      </c>
      <c r="C11" s="336">
        <f>'PAC INICIAL 2020'!C25</f>
        <v>1246000</v>
      </c>
      <c r="D11" s="337"/>
      <c r="E11" s="338"/>
      <c r="F11" s="339"/>
      <c r="G11" s="347"/>
      <c r="H11" s="341">
        <f t="shared" ref="H11:H21" si="7">C11-D11+E11+F11-G11</f>
        <v>1246000</v>
      </c>
      <c r="I11" s="342">
        <f>SEPTIEMBRE!I11+SEPTIEMBRE!J11</f>
        <v>925686</v>
      </c>
      <c r="J11" s="342">
        <f>'LIBRO DE PRESUPUESTO'!J44</f>
        <v>102854</v>
      </c>
      <c r="K11" s="343">
        <f t="shared" si="1"/>
        <v>0.8254735152487962</v>
      </c>
      <c r="L11" s="344">
        <f t="shared" si="2"/>
        <v>1028540</v>
      </c>
      <c r="M11" s="522">
        <f t="shared" si="4"/>
        <v>1028540</v>
      </c>
      <c r="N11" s="345">
        <f t="shared" si="3"/>
        <v>217460</v>
      </c>
      <c r="O11" s="346">
        <f t="shared" ref="O11:O19" si="8">N11/H11</f>
        <v>0.17452648475120386</v>
      </c>
      <c r="P11" s="567">
        <f t="shared" ref="P11:P26" si="9">L11</f>
        <v>1028540</v>
      </c>
      <c r="Q11" s="567">
        <f t="shared" si="5"/>
        <v>0</v>
      </c>
      <c r="R11" s="567">
        <f t="shared" si="6"/>
        <v>0</v>
      </c>
    </row>
    <row r="12" spans="1:18" ht="15.75" customHeight="1">
      <c r="A12" s="334">
        <v>202110104</v>
      </c>
      <c r="B12" s="335" t="s">
        <v>13</v>
      </c>
      <c r="C12" s="336">
        <f>'PAC INICIAL 2020'!C26</f>
        <v>900000</v>
      </c>
      <c r="D12" s="337"/>
      <c r="E12" s="338"/>
      <c r="F12" s="339"/>
      <c r="G12" s="347"/>
      <c r="H12" s="341">
        <f t="shared" si="7"/>
        <v>900000</v>
      </c>
      <c r="I12" s="342">
        <f>SEPTIEMBRE!I12+SEPTIEMBRE!J12</f>
        <v>594882</v>
      </c>
      <c r="J12" s="342">
        <f>'LIBRO DE PRESUPUESTO'!J61</f>
        <v>66098</v>
      </c>
      <c r="K12" s="343">
        <f t="shared" si="1"/>
        <v>0.7344222222222222</v>
      </c>
      <c r="L12" s="344">
        <f t="shared" si="2"/>
        <v>660980</v>
      </c>
      <c r="M12" s="522">
        <f t="shared" si="4"/>
        <v>660980</v>
      </c>
      <c r="N12" s="345">
        <f t="shared" si="3"/>
        <v>239020</v>
      </c>
      <c r="O12" s="346">
        <f t="shared" si="8"/>
        <v>0.2655777777777778</v>
      </c>
      <c r="P12" s="567">
        <f t="shared" si="9"/>
        <v>660980</v>
      </c>
      <c r="Q12" s="567">
        <f t="shared" si="5"/>
        <v>0</v>
      </c>
      <c r="R12" s="567">
        <f t="shared" si="6"/>
        <v>0</v>
      </c>
    </row>
    <row r="13" spans="1:18" ht="15">
      <c r="A13" s="334">
        <v>202110105</v>
      </c>
      <c r="B13" s="335" t="s">
        <v>15</v>
      </c>
      <c r="C13" s="336">
        <f>'PAC INICIAL 2020'!C27</f>
        <v>17000000</v>
      </c>
      <c r="D13" s="337"/>
      <c r="E13" s="338"/>
      <c r="F13" s="339"/>
      <c r="G13" s="347">
        <f>'LIBRO DE PRESUPUESTO'!H81</f>
        <v>4000000</v>
      </c>
      <c r="H13" s="341">
        <f t="shared" si="7"/>
        <v>13000000</v>
      </c>
      <c r="I13" s="342">
        <f>SEPTIEMBRE!I13+SEPTIEMBRE!J13</f>
        <v>9210327</v>
      </c>
      <c r="J13" s="4">
        <f>'LIBRO DE PRESUPUESTO'!J82</f>
        <v>613857</v>
      </c>
      <c r="K13" s="343">
        <f t="shared" si="1"/>
        <v>0.75570646153846155</v>
      </c>
      <c r="L13" s="344">
        <f t="shared" si="2"/>
        <v>9824184</v>
      </c>
      <c r="M13" s="522">
        <f t="shared" si="4"/>
        <v>9824184</v>
      </c>
      <c r="N13" s="345">
        <f t="shared" si="3"/>
        <v>3175816</v>
      </c>
      <c r="O13" s="346">
        <f t="shared" si="8"/>
        <v>0.24429353846153845</v>
      </c>
      <c r="P13" s="567">
        <f t="shared" si="9"/>
        <v>9824184</v>
      </c>
      <c r="Q13" s="567">
        <f t="shared" si="5"/>
        <v>0</v>
      </c>
      <c r="R13" s="567">
        <f t="shared" si="6"/>
        <v>0</v>
      </c>
    </row>
    <row r="14" spans="1:18" ht="15">
      <c r="A14" s="334">
        <v>202110106</v>
      </c>
      <c r="B14" s="335" t="s">
        <v>17</v>
      </c>
      <c r="C14" s="336">
        <f>'PAC INICIAL 2020'!C28</f>
        <v>24000000</v>
      </c>
      <c r="D14" s="337"/>
      <c r="E14" s="338"/>
      <c r="F14" s="339"/>
      <c r="G14" s="347">
        <f>'LIBRO DE PRESUPUESTO'!H103</f>
        <v>3000000</v>
      </c>
      <c r="H14" s="341">
        <f t="shared" si="7"/>
        <v>21000000</v>
      </c>
      <c r="I14" s="342">
        <f>SEPTIEMBRE!I14+SEPTIEMBRE!J14</f>
        <v>20831174.446527779</v>
      </c>
      <c r="J14" s="4">
        <f>'LIBRO DE PRESUPUESTO'!J102+'LIBRO DE PRESUPUESTO'!J101</f>
        <v>98031</v>
      </c>
      <c r="K14" s="343">
        <f t="shared" si="1"/>
        <v>0.99662883078703712</v>
      </c>
      <c r="L14" s="344">
        <f t="shared" si="2"/>
        <v>20929205.446527779</v>
      </c>
      <c r="M14" s="522">
        <f t="shared" si="4"/>
        <v>20929205.446527779</v>
      </c>
      <c r="N14" s="345">
        <f t="shared" si="3"/>
        <v>70794.553472220898</v>
      </c>
      <c r="O14" s="346">
        <f t="shared" si="8"/>
        <v>3.3711692129628997E-3</v>
      </c>
      <c r="P14" s="567">
        <f t="shared" si="9"/>
        <v>20929205.446527779</v>
      </c>
      <c r="Q14" s="567">
        <f t="shared" si="5"/>
        <v>0</v>
      </c>
      <c r="R14" s="567">
        <f t="shared" si="6"/>
        <v>0</v>
      </c>
    </row>
    <row r="15" spans="1:18" ht="15">
      <c r="A15" s="334">
        <v>202110107</v>
      </c>
      <c r="B15" s="335" t="s">
        <v>19</v>
      </c>
      <c r="C15" s="336">
        <f>'PAC INICIAL 2020'!C29</f>
        <v>28000000</v>
      </c>
      <c r="D15" s="337"/>
      <c r="E15" s="338"/>
      <c r="F15" s="339"/>
      <c r="G15" s="347">
        <f>'LIBRO DE PRESUPUESTO'!H116</f>
        <v>9000000</v>
      </c>
      <c r="H15" s="341">
        <f t="shared" si="7"/>
        <v>19000000</v>
      </c>
      <c r="I15" s="342">
        <f>SEPTIEMBRE!I15+SEPTIEMBRE!J15</f>
        <v>3558184</v>
      </c>
      <c r="J15" s="4">
        <f>'LIBRO DE PRESUPUESTO'!J114+'LIBRO DE PRESUPUESTO'!J115</f>
        <v>887058</v>
      </c>
      <c r="K15" s="343">
        <f t="shared" si="1"/>
        <v>0.23396010526315789</v>
      </c>
      <c r="L15" s="344">
        <f t="shared" si="2"/>
        <v>4445242</v>
      </c>
      <c r="M15" s="522">
        <f t="shared" si="4"/>
        <v>4445242</v>
      </c>
      <c r="N15" s="345">
        <f t="shared" si="3"/>
        <v>14554758</v>
      </c>
      <c r="O15" s="346">
        <f t="shared" si="8"/>
        <v>0.76603989473684209</v>
      </c>
      <c r="P15" s="567">
        <f t="shared" si="9"/>
        <v>4445242</v>
      </c>
      <c r="Q15" s="567">
        <f t="shared" si="5"/>
        <v>0</v>
      </c>
      <c r="R15" s="567">
        <f t="shared" si="6"/>
        <v>0</v>
      </c>
    </row>
    <row r="16" spans="1:18" ht="15">
      <c r="A16" s="334">
        <v>202110109</v>
      </c>
      <c r="B16" s="335" t="s">
        <v>20</v>
      </c>
      <c r="C16" s="336">
        <f>'PAC INICIAL 2020'!C30</f>
        <v>36000000</v>
      </c>
      <c r="D16" s="337"/>
      <c r="E16" s="338"/>
      <c r="F16" s="339"/>
      <c r="G16" s="347">
        <f>'LIBRO DE PRESUPUESTO'!H142</f>
        <v>4000000</v>
      </c>
      <c r="H16" s="341">
        <f t="shared" si="7"/>
        <v>32000000</v>
      </c>
      <c r="I16" s="342">
        <f>SEPTIEMBRE!I16+SEPTIEMBRE!J16</f>
        <v>5287971</v>
      </c>
      <c r="J16" s="4">
        <f>'LIBRO DE PRESUPUESTO'!J140+'LIBRO DE PRESUPUESTO'!J141</f>
        <v>1358092</v>
      </c>
      <c r="K16" s="343">
        <f t="shared" si="1"/>
        <v>0.20768946874999999</v>
      </c>
      <c r="L16" s="344">
        <f>J16+I16</f>
        <v>6646063</v>
      </c>
      <c r="M16" s="522">
        <f t="shared" si="4"/>
        <v>6646063</v>
      </c>
      <c r="N16" s="345">
        <f t="shared" si="3"/>
        <v>25353937</v>
      </c>
      <c r="O16" s="346">
        <f t="shared" si="8"/>
        <v>0.79231053124999995</v>
      </c>
      <c r="P16" s="567">
        <f t="shared" si="9"/>
        <v>6646063</v>
      </c>
      <c r="Q16" s="567">
        <f t="shared" si="5"/>
        <v>0</v>
      </c>
      <c r="R16" s="567">
        <f t="shared" si="6"/>
        <v>0</v>
      </c>
    </row>
    <row r="17" spans="1:18" ht="15">
      <c r="A17" s="334">
        <v>202110108</v>
      </c>
      <c r="B17" s="335" t="s">
        <v>21</v>
      </c>
      <c r="C17" s="336">
        <f>'PAC INICIAL 2020'!C31</f>
        <v>55000000</v>
      </c>
      <c r="D17" s="337"/>
      <c r="E17" s="338"/>
      <c r="F17" s="339"/>
      <c r="G17" s="347">
        <f>'LIBRO DE PRESUPUESTO'!H156</f>
        <v>8000000</v>
      </c>
      <c r="H17" s="341">
        <f t="shared" si="7"/>
        <v>47000000</v>
      </c>
      <c r="I17" s="342">
        <f>SEPTIEMBRE!I17+SEPTIEMBRE!J17</f>
        <v>1405303</v>
      </c>
      <c r="J17" s="4">
        <f>'LIBRO DE PRESUPUESTO'!J155</f>
        <v>1830432</v>
      </c>
      <c r="K17" s="343">
        <f t="shared" si="1"/>
        <v>6.8845425531914889E-2</v>
      </c>
      <c r="L17" s="344">
        <f t="shared" ref="L17:L59" si="10">J17+I17</f>
        <v>3235735</v>
      </c>
      <c r="M17" s="522">
        <f t="shared" si="4"/>
        <v>3235735</v>
      </c>
      <c r="N17" s="345">
        <f t="shared" si="3"/>
        <v>43764265</v>
      </c>
      <c r="O17" s="346">
        <f t="shared" si="8"/>
        <v>0.93115457446808514</v>
      </c>
      <c r="P17" s="567">
        <f t="shared" si="9"/>
        <v>3235735</v>
      </c>
      <c r="Q17" s="567">
        <f t="shared" si="5"/>
        <v>0</v>
      </c>
      <c r="R17" s="567">
        <f t="shared" si="6"/>
        <v>0</v>
      </c>
    </row>
    <row r="18" spans="1:18" s="349" customFormat="1" ht="27.75" customHeight="1">
      <c r="A18" s="327">
        <v>2021102</v>
      </c>
      <c r="B18" s="328" t="s">
        <v>23</v>
      </c>
      <c r="C18" s="329">
        <f t="shared" ref="C18:J18" si="11">SUM(C19:C21)</f>
        <v>20000000</v>
      </c>
      <c r="D18" s="329">
        <f t="shared" si="11"/>
        <v>0</v>
      </c>
      <c r="E18" s="329">
        <f t="shared" si="11"/>
        <v>0</v>
      </c>
      <c r="F18" s="329">
        <f t="shared" si="11"/>
        <v>95100000</v>
      </c>
      <c r="G18" s="329">
        <f t="shared" si="11"/>
        <v>0</v>
      </c>
      <c r="H18" s="329">
        <f t="shared" si="11"/>
        <v>115100000</v>
      </c>
      <c r="I18" s="329">
        <f t="shared" si="11"/>
        <v>106500000</v>
      </c>
      <c r="J18" s="329">
        <f t="shared" si="11"/>
        <v>8600000</v>
      </c>
      <c r="K18" s="330">
        <f t="shared" si="1"/>
        <v>1</v>
      </c>
      <c r="L18" s="348">
        <f>SUM(L19:L21)</f>
        <v>115100000</v>
      </c>
      <c r="M18" s="348">
        <f>SUM(M19:M21)</f>
        <v>115100000</v>
      </c>
      <c r="N18" s="348">
        <f>SUM(N19:N21)</f>
        <v>0</v>
      </c>
      <c r="O18" s="332">
        <f t="shared" si="8"/>
        <v>0</v>
      </c>
      <c r="P18" s="329">
        <f>SUM(P19:P21)</f>
        <v>85500000</v>
      </c>
      <c r="Q18" s="329">
        <f>SUM(Q19:Q21)</f>
        <v>29600000</v>
      </c>
      <c r="R18" s="329">
        <f>SUM(R19:R21)</f>
        <v>0</v>
      </c>
    </row>
    <row r="19" spans="1:18" ht="15">
      <c r="A19" s="334">
        <v>202110201</v>
      </c>
      <c r="B19" s="350" t="s">
        <v>25</v>
      </c>
      <c r="C19" s="336">
        <f>'PAC INICIAL 2020'!C33</f>
        <v>20000000</v>
      </c>
      <c r="D19" s="342"/>
      <c r="E19" s="338"/>
      <c r="F19" s="339">
        <f>'LIBRO DE PRESUPUESTO'!G161+'LIBRO DE PRESUPUESTO'!G167</f>
        <v>67000000</v>
      </c>
      <c r="G19" s="347"/>
      <c r="H19" s="341">
        <f t="shared" si="7"/>
        <v>87000000</v>
      </c>
      <c r="I19" s="342">
        <f>SEPTIEMBRE!I19+SEPTIEMBRE!J19</f>
        <v>82000000</v>
      </c>
      <c r="J19" s="342">
        <f>'LIBRO DE PRESUPUESTO'!J170</f>
        <v>5000000</v>
      </c>
      <c r="K19" s="343">
        <f t="shared" si="1"/>
        <v>1</v>
      </c>
      <c r="L19" s="344">
        <f t="shared" si="10"/>
        <v>87000000</v>
      </c>
      <c r="M19" s="522">
        <f>I19+J19</f>
        <v>87000000</v>
      </c>
      <c r="N19" s="345">
        <f t="shared" si="3"/>
        <v>0</v>
      </c>
      <c r="O19" s="346">
        <f t="shared" si="8"/>
        <v>0</v>
      </c>
      <c r="P19" s="567">
        <f>L19-16000000-5000000</f>
        <v>66000000</v>
      </c>
      <c r="Q19" s="567">
        <f t="shared" ref="Q19:Q26" si="12">M19-P19</f>
        <v>21000000</v>
      </c>
      <c r="R19" s="567">
        <f t="shared" ref="R19:R59" si="13">L19-M19</f>
        <v>0</v>
      </c>
    </row>
    <row r="20" spans="1:18" ht="1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f>'LIBRO DE PRESUPUESTO'!G176+'LIBRO DE PRESUPUESTO'!G178+'LIBRO DE PRESUPUESTO'!G180+3600000</f>
        <v>28100000</v>
      </c>
      <c r="G20" s="347"/>
      <c r="H20" s="341">
        <f t="shared" si="7"/>
        <v>28100000</v>
      </c>
      <c r="I20" s="342">
        <f>SEPTIEMBRE!I20+SEPTIEMBRE!J20</f>
        <v>24500000</v>
      </c>
      <c r="J20" s="342">
        <f>'LIBRO DE PRESUPUESTO'!J183</f>
        <v>3600000</v>
      </c>
      <c r="K20" s="343">
        <v>0</v>
      </c>
      <c r="L20" s="344">
        <f t="shared" si="10"/>
        <v>28100000</v>
      </c>
      <c r="M20" s="522">
        <f t="shared" ref="M20:M61" si="14">I20+J20</f>
        <v>28100000</v>
      </c>
      <c r="N20" s="345">
        <f t="shared" si="3"/>
        <v>0</v>
      </c>
      <c r="O20" s="346">
        <v>0</v>
      </c>
      <c r="P20" s="567">
        <f>L20-5000000-3600000</f>
        <v>19500000</v>
      </c>
      <c r="Q20" s="567">
        <f t="shared" si="12"/>
        <v>8600000</v>
      </c>
      <c r="R20" s="567">
        <f t="shared" si="13"/>
        <v>0</v>
      </c>
    </row>
    <row r="21" spans="1:18" ht="1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7"/>
        <v>0</v>
      </c>
      <c r="I21" s="342">
        <f>SEPTIEMBRE!I21+SEPTIEMBRE!J21</f>
        <v>0</v>
      </c>
      <c r="J21" s="2">
        <v>0</v>
      </c>
      <c r="K21" s="343">
        <v>0</v>
      </c>
      <c r="L21" s="344">
        <f t="shared" si="10"/>
        <v>0</v>
      </c>
      <c r="M21" s="522">
        <f t="shared" si="14"/>
        <v>0</v>
      </c>
      <c r="N21" s="345">
        <f t="shared" si="3"/>
        <v>0</v>
      </c>
      <c r="O21" s="346">
        <v>0</v>
      </c>
      <c r="P21" s="567">
        <f t="shared" si="9"/>
        <v>0</v>
      </c>
      <c r="Q21" s="567">
        <f t="shared" si="12"/>
        <v>0</v>
      </c>
      <c r="R21" s="567">
        <f t="shared" si="13"/>
        <v>0</v>
      </c>
    </row>
    <row r="22" spans="1:18" ht="30">
      <c r="A22" s="327">
        <v>2021103</v>
      </c>
      <c r="B22" s="359" t="s">
        <v>69</v>
      </c>
      <c r="C22" s="360">
        <f>SUM(C23:C26)</f>
        <v>83629741</v>
      </c>
      <c r="D22" s="360">
        <f t="shared" ref="D22:J22" si="15">SUM(D23:D26)</f>
        <v>0</v>
      </c>
      <c r="E22" s="360">
        <f t="shared" si="15"/>
        <v>0</v>
      </c>
      <c r="F22" s="360">
        <f t="shared" si="15"/>
        <v>0</v>
      </c>
      <c r="G22" s="360">
        <f t="shared" si="15"/>
        <v>13700000</v>
      </c>
      <c r="H22" s="360">
        <f t="shared" si="15"/>
        <v>69929741</v>
      </c>
      <c r="I22" s="360">
        <f t="shared" si="15"/>
        <v>40706844</v>
      </c>
      <c r="J22" s="360">
        <f t="shared" si="15"/>
        <v>4685801</v>
      </c>
      <c r="K22" s="330">
        <f>L22/H22</f>
        <v>0.64911787675575694</v>
      </c>
      <c r="L22" s="583">
        <f>SUM(L23:L26)</f>
        <v>45392645</v>
      </c>
      <c r="M22" s="583">
        <f>SUM(M23:M26)</f>
        <v>45392645</v>
      </c>
      <c r="N22" s="583">
        <f>SUM(N23:N26)</f>
        <v>24537096</v>
      </c>
      <c r="O22" s="332">
        <f t="shared" ref="O22:O28" si="16">N22/H22</f>
        <v>0.35088212324424312</v>
      </c>
      <c r="P22" s="329">
        <f>SUM(P23:P26)</f>
        <v>45392645</v>
      </c>
      <c r="Q22" s="329">
        <f>SUM(Q23:Q26)</f>
        <v>0</v>
      </c>
      <c r="R22" s="329">
        <f>SUM(R23:R26)</f>
        <v>0</v>
      </c>
    </row>
    <row r="23" spans="1:18" ht="15">
      <c r="A23" s="334">
        <v>202110301</v>
      </c>
      <c r="B23" s="351" t="s">
        <v>71</v>
      </c>
      <c r="C23" s="336">
        <f>'PAC INICIAL 2020'!C60</f>
        <v>16000083</v>
      </c>
      <c r="D23" s="337"/>
      <c r="E23" s="338"/>
      <c r="F23" s="339"/>
      <c r="G23" s="347">
        <f>'LIBRO DE PRESUPUESTO'!H566</f>
        <v>10000000</v>
      </c>
      <c r="H23" s="341">
        <f>C23-D23+E23+F23-G23</f>
        <v>6000083</v>
      </c>
      <c r="I23" s="342">
        <f>SEPTIEMBRE!I23+SEPTIEMBRE!J23</f>
        <v>1440737</v>
      </c>
      <c r="J23" s="4">
        <v>0</v>
      </c>
      <c r="K23" s="343">
        <f t="shared" ref="K23:K36" si="17">L23/H23</f>
        <v>0.24011951168008844</v>
      </c>
      <c r="L23" s="344">
        <f>J23+I23</f>
        <v>1440737</v>
      </c>
      <c r="M23" s="522">
        <f t="shared" si="14"/>
        <v>1440737</v>
      </c>
      <c r="N23" s="345">
        <f>H23-L23</f>
        <v>4559346</v>
      </c>
      <c r="O23" s="346">
        <f t="shared" si="16"/>
        <v>0.75988048831991162</v>
      </c>
      <c r="P23" s="567">
        <f t="shared" si="9"/>
        <v>1440737</v>
      </c>
      <c r="Q23" s="567">
        <f t="shared" si="12"/>
        <v>0</v>
      </c>
      <c r="R23" s="567">
        <f t="shared" si="13"/>
        <v>0</v>
      </c>
    </row>
    <row r="24" spans="1:18" ht="15">
      <c r="A24" s="334">
        <v>202110302</v>
      </c>
      <c r="B24" s="351" t="s">
        <v>73</v>
      </c>
      <c r="C24" s="336">
        <f>'PAC INICIAL 2020'!C61</f>
        <v>46429658</v>
      </c>
      <c r="D24" s="337"/>
      <c r="E24" s="338"/>
      <c r="F24" s="339"/>
      <c r="G24" s="347"/>
      <c r="H24" s="341">
        <f>C24-D24+E24+F24-G24</f>
        <v>46429658</v>
      </c>
      <c r="I24" s="342">
        <f>SEPTIEMBRE!I24+SEPTIEMBRE!J24</f>
        <v>31290493</v>
      </c>
      <c r="J24" s="4">
        <f>'LIBRO DE PRESUPUESTO'!J583</f>
        <v>3734809</v>
      </c>
      <c r="K24" s="343">
        <f t="shared" si="17"/>
        <v>0.75437346533976191</v>
      </c>
      <c r="L24" s="344">
        <f>J24+I24</f>
        <v>35025302</v>
      </c>
      <c r="M24" s="522">
        <f t="shared" si="14"/>
        <v>35025302</v>
      </c>
      <c r="N24" s="345">
        <f>H24-L24</f>
        <v>11404356</v>
      </c>
      <c r="O24" s="346">
        <f t="shared" si="16"/>
        <v>0.24562653466023807</v>
      </c>
      <c r="P24" s="567">
        <f>L24</f>
        <v>35025302</v>
      </c>
      <c r="Q24" s="567">
        <f t="shared" si="12"/>
        <v>0</v>
      </c>
      <c r="R24" s="567">
        <f t="shared" si="13"/>
        <v>0</v>
      </c>
    </row>
    <row r="25" spans="1:18" ht="15">
      <c r="A25" s="334">
        <v>202110304</v>
      </c>
      <c r="B25" s="351" t="s">
        <v>74</v>
      </c>
      <c r="C25" s="336">
        <f>'PAC INICIAL 2020'!C62</f>
        <v>14000000</v>
      </c>
      <c r="D25" s="337"/>
      <c r="E25" s="338"/>
      <c r="F25" s="339"/>
      <c r="G25" s="347">
        <f>'LIBRO DE PRESUPUESTO'!H598</f>
        <v>2700000</v>
      </c>
      <c r="H25" s="341">
        <f>C25-D25+E25+F25-G25</f>
        <v>11300000</v>
      </c>
      <c r="I25" s="342">
        <f>SEPTIEMBRE!I25+SEPTIEMBRE!J25</f>
        <v>7802725</v>
      </c>
      <c r="J25" s="4">
        <f>'LIBRO DE PRESUPUESTO'!J597</f>
        <v>720619</v>
      </c>
      <c r="K25" s="343">
        <f t="shared" si="17"/>
        <v>0.75427823008849559</v>
      </c>
      <c r="L25" s="344">
        <f>J25+I25</f>
        <v>8523344</v>
      </c>
      <c r="M25" s="522">
        <f t="shared" si="14"/>
        <v>8523344</v>
      </c>
      <c r="N25" s="345">
        <f>H25-L25</f>
        <v>2776656</v>
      </c>
      <c r="O25" s="346">
        <f t="shared" si="16"/>
        <v>0.24572176991150443</v>
      </c>
      <c r="P25" s="567">
        <f>L25</f>
        <v>8523344</v>
      </c>
      <c r="Q25" s="567">
        <f t="shared" si="12"/>
        <v>0</v>
      </c>
      <c r="R25" s="567">
        <f t="shared" si="13"/>
        <v>0</v>
      </c>
    </row>
    <row r="26" spans="1:18" ht="15">
      <c r="A26" s="334">
        <v>202110305</v>
      </c>
      <c r="B26" s="351" t="s">
        <v>75</v>
      </c>
      <c r="C26" s="336">
        <f>'PAC INICIAL 2020'!C63</f>
        <v>7200000</v>
      </c>
      <c r="D26" s="362"/>
      <c r="E26" s="338"/>
      <c r="F26" s="339"/>
      <c r="G26" s="347">
        <f>'LIBRO DE PRESUPUESTO'!H609</f>
        <v>1000000</v>
      </c>
      <c r="H26" s="341">
        <f>C26-D26+E26+F26-G26</f>
        <v>6200000</v>
      </c>
      <c r="I26" s="342">
        <f>SEPTIEMBRE!I26+SEPTIEMBRE!J26</f>
        <v>172889</v>
      </c>
      <c r="J26" s="341">
        <f>'LIBRO DE PRESUPUESTO'!J608</f>
        <v>230373</v>
      </c>
      <c r="K26" s="343">
        <f t="shared" si="17"/>
        <v>6.5042258064516134E-2</v>
      </c>
      <c r="L26" s="344">
        <f>J26+I26</f>
        <v>403262</v>
      </c>
      <c r="M26" s="522">
        <f t="shared" si="14"/>
        <v>403262</v>
      </c>
      <c r="N26" s="345">
        <f>H26-L26</f>
        <v>5796738</v>
      </c>
      <c r="O26" s="346">
        <f t="shared" si="16"/>
        <v>0.93495774193548387</v>
      </c>
      <c r="P26" s="567">
        <f t="shared" si="9"/>
        <v>403262</v>
      </c>
      <c r="Q26" s="567">
        <f t="shared" si="12"/>
        <v>0</v>
      </c>
      <c r="R26" s="567">
        <f t="shared" si="13"/>
        <v>0</v>
      </c>
    </row>
    <row r="27" spans="1:18" ht="15.75">
      <c r="A27" s="327">
        <v>2021104</v>
      </c>
      <c r="B27" s="364" t="s">
        <v>76</v>
      </c>
      <c r="C27" s="360">
        <f t="shared" ref="C27:J27" si="18">SUM(C28:C37)</f>
        <v>177100000</v>
      </c>
      <c r="D27" s="360">
        <f t="shared" si="18"/>
        <v>0</v>
      </c>
      <c r="E27" s="360">
        <f t="shared" si="18"/>
        <v>0</v>
      </c>
      <c r="F27" s="360">
        <f t="shared" si="18"/>
        <v>0</v>
      </c>
      <c r="G27" s="360">
        <f t="shared" si="18"/>
        <v>46000000</v>
      </c>
      <c r="H27" s="360">
        <f t="shared" si="18"/>
        <v>131100000</v>
      </c>
      <c r="I27" s="329">
        <f t="shared" si="18"/>
        <v>72008547</v>
      </c>
      <c r="J27" s="329">
        <f t="shared" si="18"/>
        <v>10644605</v>
      </c>
      <c r="K27" s="330">
        <f>L27/H27</f>
        <v>0.63045882532417996</v>
      </c>
      <c r="L27" s="331">
        <f>SUM(L28:L37)</f>
        <v>82653152</v>
      </c>
      <c r="M27" s="348">
        <f>SUM(M28:M37)</f>
        <v>82653152</v>
      </c>
      <c r="N27" s="348">
        <f>SUM(N28:N37)</f>
        <v>48446848</v>
      </c>
      <c r="O27" s="332">
        <f t="shared" si="16"/>
        <v>0.36954117467581998</v>
      </c>
      <c r="P27" s="329">
        <f>SUM(P28:P37)</f>
        <v>82653152</v>
      </c>
      <c r="Q27" s="329">
        <f>SUM(Q28:Q37)</f>
        <v>0</v>
      </c>
      <c r="R27" s="329">
        <f>SUM(R28:R43)</f>
        <v>0</v>
      </c>
    </row>
    <row r="28" spans="1:18" ht="15">
      <c r="A28" s="365">
        <v>202110401</v>
      </c>
      <c r="B28" s="351" t="s">
        <v>78</v>
      </c>
      <c r="C28" s="336">
        <f>'PAC INICIAL 2020'!C65</f>
        <v>56000000</v>
      </c>
      <c r="D28" s="337"/>
      <c r="E28" s="338"/>
      <c r="F28" s="339"/>
      <c r="G28" s="347">
        <f>'LIBRO DE PRESUPUESTO'!H615</f>
        <v>46000000</v>
      </c>
      <c r="H28" s="341">
        <f t="shared" ref="H28:H37" si="19">C28-D28+E28+F28-G28</f>
        <v>10000000</v>
      </c>
      <c r="I28" s="342">
        <f>SEPTIEMBRE!I28+SEPTIEMBRE!J28</f>
        <v>102050</v>
      </c>
      <c r="J28" s="2">
        <f>'LIBRO DE PRESUPUESTO'!J617</f>
        <v>1919775</v>
      </c>
      <c r="K28" s="343">
        <f t="shared" si="17"/>
        <v>0.20218249999999999</v>
      </c>
      <c r="L28" s="344">
        <f t="shared" ref="L28:L37" si="20">J28+I28</f>
        <v>2021825</v>
      </c>
      <c r="M28" s="522">
        <f t="shared" si="14"/>
        <v>2021825</v>
      </c>
      <c r="N28" s="345">
        <f t="shared" ref="N28:N37" si="21">H28-L28</f>
        <v>7978175</v>
      </c>
      <c r="O28" s="346">
        <f t="shared" si="16"/>
        <v>0.79781749999999996</v>
      </c>
      <c r="P28" s="344">
        <f>L28</f>
        <v>2021825</v>
      </c>
      <c r="Q28" s="567">
        <f>M28-P28</f>
        <v>0</v>
      </c>
      <c r="R28" s="567">
        <f>L28-M28</f>
        <v>0</v>
      </c>
    </row>
    <row r="29" spans="1:18" ht="15">
      <c r="A29" s="334">
        <v>202110402</v>
      </c>
      <c r="B29" s="351" t="s">
        <v>73</v>
      </c>
      <c r="C29" s="336">
        <f>'PAC INICIAL 2020'!C66</f>
        <v>0</v>
      </c>
      <c r="D29" s="337"/>
      <c r="E29" s="338"/>
      <c r="F29" s="339"/>
      <c r="G29" s="347"/>
      <c r="H29" s="341">
        <f t="shared" si="19"/>
        <v>0</v>
      </c>
      <c r="I29" s="342">
        <f>SEPTIEMBRE!I29+SEPTIEMBRE!J29</f>
        <v>0</v>
      </c>
      <c r="J29" s="342">
        <v>0</v>
      </c>
      <c r="K29" s="343">
        <v>0</v>
      </c>
      <c r="L29" s="353">
        <f t="shared" si="20"/>
        <v>0</v>
      </c>
      <c r="M29" s="522">
        <f t="shared" si="14"/>
        <v>0</v>
      </c>
      <c r="N29" s="345">
        <f t="shared" si="21"/>
        <v>0</v>
      </c>
      <c r="O29" s="346">
        <v>0</v>
      </c>
      <c r="P29" s="344">
        <f t="shared" ref="P29:P37" si="22">L29</f>
        <v>0</v>
      </c>
      <c r="Q29" s="567">
        <f t="shared" ref="Q29:Q37" si="23">M29-P29</f>
        <v>0</v>
      </c>
      <c r="R29" s="567">
        <f t="shared" si="13"/>
        <v>0</v>
      </c>
    </row>
    <row r="30" spans="1:18" ht="15">
      <c r="A30" s="334">
        <v>202110403</v>
      </c>
      <c r="B30" s="351" t="s">
        <v>81</v>
      </c>
      <c r="C30" s="336">
        <f>'PAC INICIAL 2020'!C67</f>
        <v>3900000</v>
      </c>
      <c r="D30" s="337"/>
      <c r="E30" s="338"/>
      <c r="F30" s="339"/>
      <c r="G30" s="347"/>
      <c r="H30" s="341">
        <f t="shared" si="19"/>
        <v>3900000</v>
      </c>
      <c r="I30" s="342">
        <f>SEPTIEMBRE!I30+SEPTIEMBRE!J30</f>
        <v>1916700</v>
      </c>
      <c r="J30" s="4">
        <f>'LIBRO DE PRESUPUESTO'!J642+'LIBRO DE PRESUPUESTO'!J643</f>
        <v>216400</v>
      </c>
      <c r="K30" s="343">
        <f t="shared" si="17"/>
        <v>0.54694871794871791</v>
      </c>
      <c r="L30" s="344">
        <f t="shared" si="20"/>
        <v>2133100</v>
      </c>
      <c r="M30" s="522">
        <f t="shared" si="14"/>
        <v>2133100</v>
      </c>
      <c r="N30" s="345">
        <f t="shared" si="21"/>
        <v>1766900</v>
      </c>
      <c r="O30" s="346">
        <f t="shared" ref="O30:O36" si="24">N30/H30</f>
        <v>0.45305128205128203</v>
      </c>
      <c r="P30" s="344">
        <f t="shared" si="22"/>
        <v>2133100</v>
      </c>
      <c r="Q30" s="567">
        <f t="shared" si="23"/>
        <v>0</v>
      </c>
      <c r="R30" s="567">
        <f t="shared" si="13"/>
        <v>0</v>
      </c>
    </row>
    <row r="31" spans="1:18" ht="15">
      <c r="A31" s="334">
        <v>202110404</v>
      </c>
      <c r="B31" s="351" t="s">
        <v>74</v>
      </c>
      <c r="C31" s="336">
        <f>'PAC INICIAL 2020'!C68</f>
        <v>52000000</v>
      </c>
      <c r="D31" s="337"/>
      <c r="E31" s="338"/>
      <c r="F31" s="339"/>
      <c r="G31" s="347"/>
      <c r="H31" s="341">
        <f t="shared" si="19"/>
        <v>52000000</v>
      </c>
      <c r="I31" s="342">
        <f>SEPTIEMBRE!I31+SEPTIEMBRE!J31</f>
        <v>36358897</v>
      </c>
      <c r="J31" s="366">
        <f>'LIBRO DE PRESUPUESTO'!J658</f>
        <v>4552130</v>
      </c>
      <c r="K31" s="343">
        <f t="shared" si="17"/>
        <v>0.78675051923076922</v>
      </c>
      <c r="L31" s="344">
        <f t="shared" si="20"/>
        <v>40911027</v>
      </c>
      <c r="M31" s="522">
        <f t="shared" si="14"/>
        <v>40911027</v>
      </c>
      <c r="N31" s="345">
        <f t="shared" si="21"/>
        <v>11088973</v>
      </c>
      <c r="O31" s="346">
        <f t="shared" si="24"/>
        <v>0.21324948076923078</v>
      </c>
      <c r="P31" s="344">
        <f t="shared" si="22"/>
        <v>40911027</v>
      </c>
      <c r="Q31" s="567">
        <f t="shared" si="23"/>
        <v>0</v>
      </c>
      <c r="R31" s="567">
        <f t="shared" si="13"/>
        <v>0</v>
      </c>
    </row>
    <row r="32" spans="1:18" ht="15">
      <c r="A32" s="334">
        <v>202110405</v>
      </c>
      <c r="B32" s="351" t="s">
        <v>84</v>
      </c>
      <c r="C32" s="336">
        <f>'PAC INICIAL 2020'!C69</f>
        <v>27000000</v>
      </c>
      <c r="D32" s="337"/>
      <c r="E32" s="338"/>
      <c r="F32" s="339"/>
      <c r="G32" s="347"/>
      <c r="H32" s="341">
        <f t="shared" si="19"/>
        <v>27000000</v>
      </c>
      <c r="I32" s="342">
        <f>SEPTIEMBRE!I32+SEPTIEMBRE!J32</f>
        <v>14942500</v>
      </c>
      <c r="J32" s="4">
        <f>'LIBRO DE PRESUPUESTO'!J674</f>
        <v>1757800</v>
      </c>
      <c r="K32" s="343">
        <f t="shared" si="17"/>
        <v>0.61852962962962965</v>
      </c>
      <c r="L32" s="344">
        <f t="shared" si="20"/>
        <v>16700300</v>
      </c>
      <c r="M32" s="522">
        <f t="shared" si="14"/>
        <v>16700300</v>
      </c>
      <c r="N32" s="345">
        <f t="shared" si="21"/>
        <v>10299700</v>
      </c>
      <c r="O32" s="346">
        <f t="shared" si="24"/>
        <v>0.38147037037037035</v>
      </c>
      <c r="P32" s="344">
        <f t="shared" si="22"/>
        <v>16700300</v>
      </c>
      <c r="Q32" s="567">
        <f t="shared" si="23"/>
        <v>0</v>
      </c>
      <c r="R32" s="567">
        <f t="shared" si="13"/>
        <v>0</v>
      </c>
    </row>
    <row r="33" spans="1:18" ht="15">
      <c r="A33" s="334">
        <v>202110406</v>
      </c>
      <c r="B33" s="351" t="s">
        <v>86</v>
      </c>
      <c r="C33" s="336">
        <f>'PAC INICIAL 2020'!C70</f>
        <v>23000000</v>
      </c>
      <c r="D33" s="337"/>
      <c r="E33" s="338"/>
      <c r="F33" s="339"/>
      <c r="G33" s="347"/>
      <c r="H33" s="341">
        <f t="shared" si="19"/>
        <v>23000000</v>
      </c>
      <c r="I33" s="342">
        <f>SEPTIEMBRE!I33+SEPTIEMBRE!J33</f>
        <v>11206300</v>
      </c>
      <c r="J33" s="4">
        <f>'LIBRO DE PRESUPUESTO'!J690</f>
        <v>1318200</v>
      </c>
      <c r="K33" s="343">
        <f t="shared" si="17"/>
        <v>0.54454347826086957</v>
      </c>
      <c r="L33" s="344">
        <f t="shared" si="20"/>
        <v>12524500</v>
      </c>
      <c r="M33" s="522">
        <f t="shared" si="14"/>
        <v>12524500</v>
      </c>
      <c r="N33" s="345">
        <f t="shared" si="21"/>
        <v>10475500</v>
      </c>
      <c r="O33" s="346">
        <f t="shared" si="24"/>
        <v>0.45545652173913043</v>
      </c>
      <c r="P33" s="344">
        <f t="shared" si="22"/>
        <v>12524500</v>
      </c>
      <c r="Q33" s="567">
        <f t="shared" si="23"/>
        <v>0</v>
      </c>
      <c r="R33" s="567">
        <f t="shared" si="13"/>
        <v>0</v>
      </c>
    </row>
    <row r="34" spans="1:18" ht="15">
      <c r="A34" s="334">
        <v>202110407</v>
      </c>
      <c r="B34" s="351" t="s">
        <v>88</v>
      </c>
      <c r="C34" s="336">
        <f>'PAC INICIAL 2020'!C71</f>
        <v>4000000</v>
      </c>
      <c r="D34" s="337"/>
      <c r="E34" s="338"/>
      <c r="F34" s="339"/>
      <c r="G34" s="347"/>
      <c r="H34" s="341">
        <f t="shared" si="19"/>
        <v>4000000</v>
      </c>
      <c r="I34" s="342">
        <f>SEPTIEMBRE!I34+SEPTIEMBRE!J34</f>
        <v>1871900</v>
      </c>
      <c r="J34" s="4">
        <f>'LIBRO DE PRESUPUESTO'!J706</f>
        <v>220200</v>
      </c>
      <c r="K34" s="343">
        <f t="shared" si="17"/>
        <v>0.52302499999999996</v>
      </c>
      <c r="L34" s="344">
        <f t="shared" si="20"/>
        <v>2092100</v>
      </c>
      <c r="M34" s="522">
        <f t="shared" si="14"/>
        <v>2092100</v>
      </c>
      <c r="N34" s="345">
        <f t="shared" si="21"/>
        <v>1907900</v>
      </c>
      <c r="O34" s="346">
        <f t="shared" si="24"/>
        <v>0.47697499999999998</v>
      </c>
      <c r="P34" s="344">
        <f t="shared" si="22"/>
        <v>2092100</v>
      </c>
      <c r="Q34" s="567">
        <f t="shared" si="23"/>
        <v>0</v>
      </c>
      <c r="R34" s="567">
        <f t="shared" si="13"/>
        <v>0</v>
      </c>
    </row>
    <row r="35" spans="1:18" ht="15">
      <c r="A35" s="334">
        <v>202110408</v>
      </c>
      <c r="B35" s="351" t="s">
        <v>90</v>
      </c>
      <c r="C35" s="336">
        <f>'PAC INICIAL 2020'!C72</f>
        <v>4000000</v>
      </c>
      <c r="D35" s="337"/>
      <c r="E35" s="338"/>
      <c r="F35" s="339"/>
      <c r="G35" s="347"/>
      <c r="H35" s="341">
        <f t="shared" si="19"/>
        <v>4000000</v>
      </c>
      <c r="I35" s="342">
        <f>SEPTIEMBRE!I35+SEPTIEMBRE!J35</f>
        <v>1871900</v>
      </c>
      <c r="J35" s="4">
        <f>'LIBRO DE PRESUPUESTO'!J721</f>
        <v>220200</v>
      </c>
      <c r="K35" s="343">
        <f t="shared" si="17"/>
        <v>0.52302499999999996</v>
      </c>
      <c r="L35" s="344">
        <f t="shared" si="20"/>
        <v>2092100</v>
      </c>
      <c r="M35" s="522">
        <f t="shared" si="14"/>
        <v>2092100</v>
      </c>
      <c r="N35" s="345">
        <f t="shared" si="21"/>
        <v>1907900</v>
      </c>
      <c r="O35" s="346">
        <f t="shared" si="24"/>
        <v>0.47697499999999998</v>
      </c>
      <c r="P35" s="344">
        <f t="shared" si="22"/>
        <v>2092100</v>
      </c>
      <c r="Q35" s="567">
        <f t="shared" si="23"/>
        <v>0</v>
      </c>
      <c r="R35" s="567">
        <f t="shared" si="13"/>
        <v>0</v>
      </c>
    </row>
    <row r="36" spans="1:18" ht="15">
      <c r="A36" s="334">
        <v>202110409</v>
      </c>
      <c r="B36" s="351" t="s">
        <v>92</v>
      </c>
      <c r="C36" s="336">
        <f>'PAC INICIAL 2020'!C73</f>
        <v>7200000</v>
      </c>
      <c r="D36" s="337"/>
      <c r="E36" s="338"/>
      <c r="F36" s="339"/>
      <c r="G36" s="347"/>
      <c r="H36" s="341">
        <f t="shared" si="19"/>
        <v>7200000</v>
      </c>
      <c r="I36" s="342">
        <f>SEPTIEMBRE!I36+SEPTIEMBRE!J36</f>
        <v>3738300</v>
      </c>
      <c r="J36" s="4">
        <f>'LIBRO DE PRESUPUESTO'!J741</f>
        <v>439900</v>
      </c>
      <c r="K36" s="343">
        <f t="shared" si="17"/>
        <v>0.58030555555555552</v>
      </c>
      <c r="L36" s="344">
        <f t="shared" si="20"/>
        <v>4178200</v>
      </c>
      <c r="M36" s="522">
        <f t="shared" si="14"/>
        <v>4178200</v>
      </c>
      <c r="N36" s="345">
        <f t="shared" si="21"/>
        <v>3021800</v>
      </c>
      <c r="O36" s="346">
        <f t="shared" si="24"/>
        <v>0.41969444444444443</v>
      </c>
      <c r="P36" s="344">
        <f t="shared" si="22"/>
        <v>4178200</v>
      </c>
      <c r="Q36" s="567">
        <f t="shared" si="23"/>
        <v>0</v>
      </c>
      <c r="R36" s="567">
        <f t="shared" si="13"/>
        <v>0</v>
      </c>
    </row>
    <row r="37" spans="1:18" ht="15">
      <c r="A37" s="334">
        <v>202110410</v>
      </c>
      <c r="B37" s="351" t="s">
        <v>94</v>
      </c>
      <c r="C37" s="336">
        <f>'PAC INICIAL 2020'!C74</f>
        <v>0</v>
      </c>
      <c r="D37" s="342"/>
      <c r="E37" s="338"/>
      <c r="F37" s="339"/>
      <c r="G37" s="347"/>
      <c r="H37" s="341">
        <f t="shared" si="19"/>
        <v>0</v>
      </c>
      <c r="I37" s="342">
        <f>SEPTIEMBRE!I37+SEPTIEMBRE!J37</f>
        <v>0</v>
      </c>
      <c r="J37" s="342">
        <v>0</v>
      </c>
      <c r="K37" s="343">
        <v>0</v>
      </c>
      <c r="L37" s="353">
        <f t="shared" si="20"/>
        <v>0</v>
      </c>
      <c r="M37" s="522">
        <f t="shared" si="14"/>
        <v>0</v>
      </c>
      <c r="N37" s="345">
        <f t="shared" si="21"/>
        <v>0</v>
      </c>
      <c r="O37" s="346">
        <v>0</v>
      </c>
      <c r="P37" s="344">
        <f t="shared" si="22"/>
        <v>0</v>
      </c>
      <c r="Q37" s="567">
        <f t="shared" si="23"/>
        <v>0</v>
      </c>
      <c r="R37" s="567">
        <f t="shared" si="13"/>
        <v>0</v>
      </c>
    </row>
    <row r="38" spans="1:18" s="349" customFormat="1" ht="27.75" customHeight="1">
      <c r="A38" s="327">
        <v>2021201</v>
      </c>
      <c r="B38" s="352" t="s">
        <v>31</v>
      </c>
      <c r="C38" s="329">
        <f t="shared" ref="C38:J38" si="25">SUM(C39:C42)</f>
        <v>21300000</v>
      </c>
      <c r="D38" s="329">
        <f t="shared" si="25"/>
        <v>0</v>
      </c>
      <c r="E38" s="329">
        <f t="shared" si="25"/>
        <v>0</v>
      </c>
      <c r="F38" s="329">
        <f t="shared" si="25"/>
        <v>173900000</v>
      </c>
      <c r="G38" s="329">
        <f t="shared" si="25"/>
        <v>5000000</v>
      </c>
      <c r="H38" s="329">
        <f t="shared" si="25"/>
        <v>190200000</v>
      </c>
      <c r="I38" s="329">
        <f t="shared" si="25"/>
        <v>25310300</v>
      </c>
      <c r="J38" s="329">
        <f t="shared" si="25"/>
        <v>1400000</v>
      </c>
      <c r="K38" s="330">
        <f>L38/H38</f>
        <v>0.14043270241850683</v>
      </c>
      <c r="L38" s="348">
        <f>SUM(L39:L42)</f>
        <v>26710300</v>
      </c>
      <c r="M38" s="348">
        <f>SUM(M39:M42)</f>
        <v>26710300</v>
      </c>
      <c r="N38" s="329">
        <f>SUM(N39:N42)</f>
        <v>163489700</v>
      </c>
      <c r="O38" s="332">
        <f>N38/H38</f>
        <v>0.85956729758149319</v>
      </c>
      <c r="P38" s="329">
        <f>SUM(P39:P42)</f>
        <v>16264100</v>
      </c>
      <c r="Q38" s="329">
        <f>SUM(Q39:Q42)</f>
        <v>10446200</v>
      </c>
      <c r="R38" s="329">
        <f t="shared" si="13"/>
        <v>0</v>
      </c>
    </row>
    <row r="39" spans="1:18" ht="15">
      <c r="A39" s="334">
        <v>202120101</v>
      </c>
      <c r="B39" s="351" t="s">
        <v>33</v>
      </c>
      <c r="C39" s="336">
        <f>'PAC INICIAL 2020'!C38</f>
        <v>6000000</v>
      </c>
      <c r="D39" s="342"/>
      <c r="E39" s="338"/>
      <c r="F39" s="339">
        <f>'LIBRO DE PRESUPUESTO'!G189</f>
        <v>157600000</v>
      </c>
      <c r="G39" s="347"/>
      <c r="H39" s="341">
        <f>C39-D39+E39+F39-G39</f>
        <v>163600000</v>
      </c>
      <c r="I39" s="342">
        <f>SEPTIEMBRE!I39+SEPTIEMBRE!J39</f>
        <v>3600000</v>
      </c>
      <c r="J39" s="2">
        <v>0</v>
      </c>
      <c r="K39" s="343">
        <v>0</v>
      </c>
      <c r="L39" s="344">
        <f t="shared" si="10"/>
        <v>3600000</v>
      </c>
      <c r="M39" s="522">
        <f t="shared" si="14"/>
        <v>3600000</v>
      </c>
      <c r="N39" s="345">
        <f t="shared" si="3"/>
        <v>160000000</v>
      </c>
      <c r="O39" s="346">
        <v>0</v>
      </c>
      <c r="P39" s="344">
        <f>L39</f>
        <v>3600000</v>
      </c>
      <c r="Q39" s="567">
        <f>M39-P39</f>
        <v>0</v>
      </c>
      <c r="R39" s="567">
        <f t="shared" si="13"/>
        <v>0</v>
      </c>
    </row>
    <row r="40" spans="1:18" ht="15">
      <c r="A40" s="334">
        <v>202120102</v>
      </c>
      <c r="B40" s="354" t="s">
        <v>35</v>
      </c>
      <c r="C40" s="336">
        <f>'PAC INICIAL 2020'!C39</f>
        <v>14000000</v>
      </c>
      <c r="D40" s="342"/>
      <c r="E40" s="338"/>
      <c r="F40" s="339">
        <f>'LIBRO DE PRESUPUESTO'!G206</f>
        <v>16000000</v>
      </c>
      <c r="G40" s="347">
        <f>'LIBRO DE PRESUPUESTO'!H210</f>
        <v>5000000</v>
      </c>
      <c r="H40" s="341">
        <f>C40-D40+E40+F40-G40</f>
        <v>25000000</v>
      </c>
      <c r="I40" s="342">
        <f>SEPTIEMBRE!I40+SEPTIEMBRE!J40</f>
        <v>21710300</v>
      </c>
      <c r="J40" s="342">
        <v>0</v>
      </c>
      <c r="K40" s="343">
        <f>L40/H40</f>
        <v>0.86841199999999996</v>
      </c>
      <c r="L40" s="344">
        <f t="shared" si="10"/>
        <v>21710300</v>
      </c>
      <c r="M40" s="522">
        <f t="shared" si="14"/>
        <v>21710300</v>
      </c>
      <c r="N40" s="345">
        <f t="shared" si="3"/>
        <v>3289700</v>
      </c>
      <c r="O40" s="355">
        <f>N40/H40</f>
        <v>0.13158800000000001</v>
      </c>
      <c r="P40" s="344">
        <f>L40-10446200</f>
        <v>11264100</v>
      </c>
      <c r="Q40" s="567">
        <f t="shared" ref="Q40:Q61" si="26">M40-P40</f>
        <v>10446200</v>
      </c>
      <c r="R40" s="567">
        <f t="shared" si="13"/>
        <v>0</v>
      </c>
    </row>
    <row r="41" spans="1:18" ht="15">
      <c r="A41" s="334">
        <v>202120104</v>
      </c>
      <c r="B41" s="351" t="s">
        <v>37</v>
      </c>
      <c r="C41" s="336">
        <f>'PAC INICIAL 2020'!C40</f>
        <v>1300000</v>
      </c>
      <c r="D41" s="342"/>
      <c r="E41" s="338"/>
      <c r="F41" s="339">
        <v>300000</v>
      </c>
      <c r="G41" s="356"/>
      <c r="H41" s="341">
        <f>C41-D41+E41+F41-G41</f>
        <v>1600000</v>
      </c>
      <c r="I41" s="342">
        <f>SEPTIEMBRE!I41+SEPTIEMBRE!J41</f>
        <v>0</v>
      </c>
      <c r="J41" s="342">
        <f>'LIBRO DE PRESUPUESTO'!J218</f>
        <v>1400000</v>
      </c>
      <c r="K41" s="343">
        <f>L41/H41</f>
        <v>0.875</v>
      </c>
      <c r="L41" s="344">
        <f t="shared" si="10"/>
        <v>1400000</v>
      </c>
      <c r="M41" s="522">
        <f t="shared" si="14"/>
        <v>1400000</v>
      </c>
      <c r="N41" s="345">
        <f t="shared" si="3"/>
        <v>200000</v>
      </c>
      <c r="O41" s="355">
        <f>N41/H41</f>
        <v>0.125</v>
      </c>
      <c r="P41" s="344">
        <f t="shared" ref="P41" si="27">L41</f>
        <v>1400000</v>
      </c>
      <c r="Q41" s="567">
        <f t="shared" si="26"/>
        <v>0</v>
      </c>
      <c r="R41" s="567">
        <f t="shared" si="13"/>
        <v>0</v>
      </c>
    </row>
    <row r="42" spans="1:18" ht="15">
      <c r="A42" s="334">
        <v>202120105</v>
      </c>
      <c r="B42" s="351" t="s">
        <v>39</v>
      </c>
      <c r="C42" s="336">
        <f>'PAC INICIAL 2020'!C41</f>
        <v>0</v>
      </c>
      <c r="D42" s="342"/>
      <c r="E42" s="338"/>
      <c r="F42" s="339"/>
      <c r="G42" s="347"/>
      <c r="H42" s="341">
        <f>C42-D42+E42+F42-G42</f>
        <v>0</v>
      </c>
      <c r="I42" s="342">
        <f>SEPTIEMBRE!I42+SEPTIEMBRE!J42</f>
        <v>0</v>
      </c>
      <c r="J42" s="342">
        <v>0</v>
      </c>
      <c r="K42" s="343">
        <v>0</v>
      </c>
      <c r="L42" s="353">
        <f t="shared" si="10"/>
        <v>0</v>
      </c>
      <c r="M42" s="522">
        <f t="shared" si="14"/>
        <v>0</v>
      </c>
      <c r="N42" s="345">
        <f t="shared" si="3"/>
        <v>0</v>
      </c>
      <c r="O42" s="355">
        <v>0</v>
      </c>
      <c r="P42" s="344">
        <f>L42</f>
        <v>0</v>
      </c>
      <c r="Q42" s="567">
        <f t="shared" si="26"/>
        <v>0</v>
      </c>
      <c r="R42" s="567">
        <f t="shared" si="13"/>
        <v>0</v>
      </c>
    </row>
    <row r="43" spans="1:18" s="349" customFormat="1" ht="27.75" customHeight="1">
      <c r="A43" s="327">
        <v>2021202</v>
      </c>
      <c r="B43" s="352" t="s">
        <v>41</v>
      </c>
      <c r="C43" s="329">
        <f t="shared" ref="C43:J43" si="28">SUM(C44:C59)</f>
        <v>127719000</v>
      </c>
      <c r="D43" s="329">
        <f t="shared" si="28"/>
        <v>0</v>
      </c>
      <c r="E43" s="329">
        <f t="shared" si="28"/>
        <v>0</v>
      </c>
      <c r="F43" s="329">
        <f t="shared" si="28"/>
        <v>20000000</v>
      </c>
      <c r="G43" s="329">
        <f t="shared" si="28"/>
        <v>21400000</v>
      </c>
      <c r="H43" s="329">
        <f t="shared" si="28"/>
        <v>126319000</v>
      </c>
      <c r="I43" s="329">
        <f t="shared" si="28"/>
        <v>52082672</v>
      </c>
      <c r="J43" s="329">
        <f t="shared" si="28"/>
        <v>15941181</v>
      </c>
      <c r="K43" s="330">
        <f t="shared" ref="K43:K50" si="29">L43/H43</f>
        <v>0.53850848249273664</v>
      </c>
      <c r="L43" s="331">
        <f>SUM(L44:L59)</f>
        <v>68023853</v>
      </c>
      <c r="M43" s="331">
        <f>SUM(M44:M59)</f>
        <v>68023853</v>
      </c>
      <c r="N43" s="348">
        <f>SUM(N44:N59)</f>
        <v>58295147</v>
      </c>
      <c r="O43" s="332">
        <f t="shared" ref="O43:O48" si="30">N43/H43</f>
        <v>0.46149151750726336</v>
      </c>
      <c r="P43" s="348">
        <f>SUM(P44:P59)</f>
        <v>68023853</v>
      </c>
      <c r="Q43" s="348">
        <f>SUM(Q44:Q59)</f>
        <v>0</v>
      </c>
      <c r="R43" s="348">
        <f t="shared" si="13"/>
        <v>0</v>
      </c>
    </row>
    <row r="44" spans="1:18" ht="15.75">
      <c r="A44" s="334">
        <v>202120201</v>
      </c>
      <c r="B44" s="351" t="s">
        <v>43</v>
      </c>
      <c r="C44" s="336">
        <f>'PAC INICIAL 2020'!C43</f>
        <v>9000000</v>
      </c>
      <c r="D44" s="342"/>
      <c r="E44" s="338"/>
      <c r="F44" s="339">
        <f>'LIBRO DE PRESUPUESTO'!G227</f>
        <v>10000000</v>
      </c>
      <c r="G44" s="347">
        <f>'LIBRO DE PRESUPUESTO'!H235</f>
        <v>6800000</v>
      </c>
      <c r="H44" s="341">
        <f t="shared" ref="H44:H58" si="31">C44-D44+E44+F44-G44</f>
        <v>12200000</v>
      </c>
      <c r="I44" s="342">
        <f>SEPTIEMBRE!I44+SEPTIEMBRE!J44</f>
        <v>8695500</v>
      </c>
      <c r="J44" s="342">
        <v>0</v>
      </c>
      <c r="K44" s="343">
        <f t="shared" si="29"/>
        <v>0.71274590163934426</v>
      </c>
      <c r="L44" s="344">
        <f t="shared" si="10"/>
        <v>8695500</v>
      </c>
      <c r="M44" s="584">
        <f t="shared" si="14"/>
        <v>8695500</v>
      </c>
      <c r="N44" s="580">
        <f t="shared" si="3"/>
        <v>3504500</v>
      </c>
      <c r="O44" s="581">
        <f t="shared" si="30"/>
        <v>0.28725409836065574</v>
      </c>
      <c r="P44" s="344">
        <f>L44</f>
        <v>8695500</v>
      </c>
      <c r="Q44" s="567">
        <f t="shared" si="26"/>
        <v>0</v>
      </c>
      <c r="R44" s="582">
        <f>SUM(R45:R48)</f>
        <v>0</v>
      </c>
    </row>
    <row r="45" spans="1:18" ht="15">
      <c r="A45" s="334">
        <v>202120202</v>
      </c>
      <c r="B45" s="351" t="s">
        <v>44</v>
      </c>
      <c r="C45" s="336">
        <f>'PAC INICIAL 2020'!C44</f>
        <v>52500000</v>
      </c>
      <c r="D45" s="342"/>
      <c r="E45" s="338"/>
      <c r="F45" s="339"/>
      <c r="G45" s="347"/>
      <c r="H45" s="341">
        <f t="shared" si="31"/>
        <v>52500000</v>
      </c>
      <c r="I45" s="342">
        <f>SEPTIEMBRE!I45+SEPTIEMBRE!J45</f>
        <v>25539925</v>
      </c>
      <c r="J45" s="342">
        <f>SUM('LIBRO DE PRESUPUESTO'!J280:J295)</f>
        <v>15033933</v>
      </c>
      <c r="K45" s="343">
        <f t="shared" si="29"/>
        <v>0.77283539047619043</v>
      </c>
      <c r="L45" s="344">
        <f t="shared" si="10"/>
        <v>40573858</v>
      </c>
      <c r="M45" s="522">
        <f t="shared" si="14"/>
        <v>40573858</v>
      </c>
      <c r="N45" s="345">
        <f t="shared" si="3"/>
        <v>11926142</v>
      </c>
      <c r="O45" s="355">
        <f t="shared" si="30"/>
        <v>0.22716460952380951</v>
      </c>
      <c r="P45" s="344">
        <f t="shared" ref="P45:P61" si="32">L45</f>
        <v>40573858</v>
      </c>
      <c r="Q45" s="567">
        <f t="shared" si="26"/>
        <v>0</v>
      </c>
      <c r="R45" s="567">
        <f t="shared" si="13"/>
        <v>0</v>
      </c>
    </row>
    <row r="46" spans="1:18" ht="15">
      <c r="A46" s="334">
        <v>202120203</v>
      </c>
      <c r="B46" s="351" t="s">
        <v>46</v>
      </c>
      <c r="C46" s="336">
        <f>'PAC INICIAL 2020'!C45</f>
        <v>2000000</v>
      </c>
      <c r="D46" s="342"/>
      <c r="E46" s="338"/>
      <c r="F46" s="339"/>
      <c r="G46" s="347"/>
      <c r="H46" s="341">
        <f t="shared" si="31"/>
        <v>2000000</v>
      </c>
      <c r="I46" s="342">
        <f>SEPTIEMBRE!I46+SEPTIEMBRE!J46</f>
        <v>915600</v>
      </c>
      <c r="J46" s="4">
        <v>0</v>
      </c>
      <c r="K46" s="343">
        <f t="shared" si="29"/>
        <v>0.45779999999999998</v>
      </c>
      <c r="L46" s="344">
        <f t="shared" si="10"/>
        <v>915600</v>
      </c>
      <c r="M46" s="522">
        <f t="shared" si="14"/>
        <v>915600</v>
      </c>
      <c r="N46" s="345">
        <f t="shared" si="3"/>
        <v>1084400</v>
      </c>
      <c r="O46" s="355">
        <f t="shared" si="30"/>
        <v>0.54220000000000002</v>
      </c>
      <c r="P46" s="344">
        <f t="shared" si="32"/>
        <v>915600</v>
      </c>
      <c r="Q46" s="567">
        <f t="shared" si="26"/>
        <v>0</v>
      </c>
      <c r="R46" s="567">
        <f t="shared" si="13"/>
        <v>0</v>
      </c>
    </row>
    <row r="47" spans="1:18" ht="15">
      <c r="A47" s="334">
        <v>202120204</v>
      </c>
      <c r="B47" s="351" t="s">
        <v>48</v>
      </c>
      <c r="C47" s="336">
        <f>'PAC INICIAL 2020'!C46</f>
        <v>11619000</v>
      </c>
      <c r="D47" s="342"/>
      <c r="E47" s="338"/>
      <c r="F47" s="339"/>
      <c r="G47" s="347">
        <f>'LIBRO DE PRESUPUESTO'!H412</f>
        <v>2500000</v>
      </c>
      <c r="H47" s="341">
        <f t="shared" si="31"/>
        <v>9119000</v>
      </c>
      <c r="I47" s="342">
        <f>SEPTIEMBRE!I47+SEPTIEMBRE!J47</f>
        <v>6535100</v>
      </c>
      <c r="J47" s="4">
        <f>'LIBRO DE PRESUPUESTO'!J411</f>
        <v>430900</v>
      </c>
      <c r="K47" s="343">
        <f t="shared" si="29"/>
        <v>0.76389955038929702</v>
      </c>
      <c r="L47" s="344">
        <f t="shared" si="10"/>
        <v>6966000</v>
      </c>
      <c r="M47" s="522">
        <f t="shared" si="14"/>
        <v>6966000</v>
      </c>
      <c r="N47" s="345">
        <f t="shared" si="3"/>
        <v>2153000</v>
      </c>
      <c r="O47" s="346">
        <f t="shared" si="30"/>
        <v>0.23610044961070292</v>
      </c>
      <c r="P47" s="344">
        <f t="shared" si="32"/>
        <v>6966000</v>
      </c>
      <c r="Q47" s="567">
        <f t="shared" si="26"/>
        <v>0</v>
      </c>
      <c r="R47" s="567">
        <f t="shared" si="13"/>
        <v>0</v>
      </c>
    </row>
    <row r="48" spans="1:18" ht="15">
      <c r="A48" s="334">
        <v>202120205</v>
      </c>
      <c r="B48" s="351" t="s">
        <v>50</v>
      </c>
      <c r="C48" s="336">
        <f>'PAC INICIAL 2020'!C47</f>
        <v>8000000</v>
      </c>
      <c r="D48" s="342"/>
      <c r="E48" s="338"/>
      <c r="F48" s="339"/>
      <c r="G48" s="347">
        <f>'LIBRO DE PRESUPUESTO'!H437</f>
        <v>4000000</v>
      </c>
      <c r="H48" s="341">
        <f t="shared" si="31"/>
        <v>4000000</v>
      </c>
      <c r="I48" s="342">
        <f>SEPTIEMBRE!I48+SEPTIEMBRE!J48</f>
        <v>2912094</v>
      </c>
      <c r="J48" s="4">
        <f>'LIBRO DE PRESUPUESTO'!J435+'LIBRO DE PRESUPUESTO'!J436</f>
        <v>342238</v>
      </c>
      <c r="K48" s="343">
        <f t="shared" si="29"/>
        <v>0.81358299999999995</v>
      </c>
      <c r="L48" s="344">
        <f t="shared" si="10"/>
        <v>3254332</v>
      </c>
      <c r="M48" s="522">
        <f t="shared" si="14"/>
        <v>3254332</v>
      </c>
      <c r="N48" s="345">
        <f t="shared" si="3"/>
        <v>745668</v>
      </c>
      <c r="O48" s="346">
        <f t="shared" si="30"/>
        <v>0.186417</v>
      </c>
      <c r="P48" s="344">
        <f t="shared" si="32"/>
        <v>3254332</v>
      </c>
      <c r="Q48" s="567">
        <f t="shared" si="26"/>
        <v>0</v>
      </c>
      <c r="R48" s="567">
        <f t="shared" si="13"/>
        <v>0</v>
      </c>
    </row>
    <row r="49" spans="1:18" ht="15.75">
      <c r="A49" s="334">
        <v>202120206</v>
      </c>
      <c r="B49" s="351" t="s">
        <v>52</v>
      </c>
      <c r="C49" s="336">
        <f>'PAC INICIAL 2020'!C48</f>
        <v>2500000</v>
      </c>
      <c r="D49" s="342"/>
      <c r="E49" s="338"/>
      <c r="F49" s="339"/>
      <c r="G49" s="347">
        <f>'LIBRO DE PRESUPUESTO'!H473</f>
        <v>800000</v>
      </c>
      <c r="H49" s="341">
        <f t="shared" si="31"/>
        <v>1700000</v>
      </c>
      <c r="I49" s="342">
        <f>SEPTIEMBRE!I49+SEPTIEMBRE!J49</f>
        <v>863920</v>
      </c>
      <c r="J49" s="2">
        <f>'LIBRO DE PRESUPUESTO'!J471+'LIBRO DE PRESUPUESTO'!J472</f>
        <v>134110</v>
      </c>
      <c r="K49" s="343">
        <f t="shared" si="29"/>
        <v>0.58707647058823531</v>
      </c>
      <c r="L49" s="344">
        <f t="shared" si="10"/>
        <v>998030</v>
      </c>
      <c r="M49" s="584">
        <f t="shared" si="14"/>
        <v>998030</v>
      </c>
      <c r="N49" s="345">
        <f t="shared" si="3"/>
        <v>701970</v>
      </c>
      <c r="O49" s="346">
        <v>0</v>
      </c>
      <c r="P49" s="344">
        <f t="shared" si="32"/>
        <v>998030</v>
      </c>
      <c r="Q49" s="567">
        <f t="shared" si="26"/>
        <v>0</v>
      </c>
      <c r="R49" s="579">
        <f>SUM(R50:R59)</f>
        <v>0</v>
      </c>
    </row>
    <row r="50" spans="1:18" ht="15">
      <c r="A50" s="334">
        <v>202120207</v>
      </c>
      <c r="B50" s="354" t="s">
        <v>54</v>
      </c>
      <c r="C50" s="336">
        <f>'PAC INICIAL 2020'!C49</f>
        <v>1500000</v>
      </c>
      <c r="D50" s="342"/>
      <c r="E50" s="338"/>
      <c r="F50" s="339"/>
      <c r="G50" s="347">
        <f>'LIBRO DE PRESUPUESTO'!H485</f>
        <v>1000000</v>
      </c>
      <c r="H50" s="341">
        <f t="shared" si="31"/>
        <v>500000</v>
      </c>
      <c r="I50" s="342">
        <f>SEPTIEMBRE!I50+SEPTIEMBRE!J50</f>
        <v>200000</v>
      </c>
      <c r="J50" s="342">
        <v>0</v>
      </c>
      <c r="K50" s="343">
        <f t="shared" si="29"/>
        <v>0.4</v>
      </c>
      <c r="L50" s="344">
        <f t="shared" si="10"/>
        <v>200000</v>
      </c>
      <c r="M50" s="522">
        <f t="shared" si="14"/>
        <v>200000</v>
      </c>
      <c r="N50" s="345">
        <f t="shared" si="3"/>
        <v>300000</v>
      </c>
      <c r="O50" s="346">
        <f>N50/H50</f>
        <v>0.6</v>
      </c>
      <c r="P50" s="344">
        <f t="shared" si="32"/>
        <v>200000</v>
      </c>
      <c r="Q50" s="567">
        <f t="shared" si="26"/>
        <v>0</v>
      </c>
      <c r="R50" s="567">
        <f t="shared" si="13"/>
        <v>0</v>
      </c>
    </row>
    <row r="51" spans="1:18" ht="15">
      <c r="A51" s="334">
        <v>202120208</v>
      </c>
      <c r="B51" s="351" t="s">
        <v>56</v>
      </c>
      <c r="C51" s="336">
        <f>'PAC INICIAL 2020'!C50</f>
        <v>0</v>
      </c>
      <c r="D51" s="342"/>
      <c r="E51" s="338"/>
      <c r="F51" s="357"/>
      <c r="G51" s="347"/>
      <c r="H51" s="341">
        <f t="shared" si="31"/>
        <v>0</v>
      </c>
      <c r="I51" s="342">
        <f>SEPTIEMBRE!I51+SEPTIEMBRE!J51</f>
        <v>0</v>
      </c>
      <c r="J51" s="342">
        <v>0</v>
      </c>
      <c r="K51" s="343">
        <v>0</v>
      </c>
      <c r="L51" s="344">
        <f t="shared" si="10"/>
        <v>0</v>
      </c>
      <c r="M51" s="522">
        <f t="shared" si="14"/>
        <v>0</v>
      </c>
      <c r="N51" s="345">
        <f t="shared" si="3"/>
        <v>0</v>
      </c>
      <c r="O51" s="346">
        <v>0</v>
      </c>
      <c r="P51" s="344">
        <f t="shared" si="32"/>
        <v>0</v>
      </c>
      <c r="Q51" s="567">
        <f t="shared" si="26"/>
        <v>0</v>
      </c>
      <c r="R51" s="567">
        <f t="shared" si="13"/>
        <v>0</v>
      </c>
    </row>
    <row r="52" spans="1:18" ht="15">
      <c r="A52" s="334">
        <v>202120209</v>
      </c>
      <c r="B52" s="351" t="s">
        <v>58</v>
      </c>
      <c r="C52" s="336">
        <f>'PAC INICIAL 2020'!C51</f>
        <v>9400000</v>
      </c>
      <c r="D52" s="342"/>
      <c r="E52" s="338"/>
      <c r="F52" s="339"/>
      <c r="G52" s="347">
        <f>'LIBRO DE PRESUPUESTO'!H501</f>
        <v>6300000</v>
      </c>
      <c r="H52" s="341">
        <f t="shared" si="31"/>
        <v>3100000</v>
      </c>
      <c r="I52" s="342">
        <f>SEPTIEMBRE!I52+SEPTIEMBRE!J52</f>
        <v>2481533</v>
      </c>
      <c r="J52" s="6">
        <v>0</v>
      </c>
      <c r="K52" s="343">
        <f>L52/H52</f>
        <v>0.80049451612903222</v>
      </c>
      <c r="L52" s="344">
        <f t="shared" si="10"/>
        <v>2481533</v>
      </c>
      <c r="M52" s="522">
        <f t="shared" si="14"/>
        <v>2481533</v>
      </c>
      <c r="N52" s="345">
        <f t="shared" si="3"/>
        <v>618467</v>
      </c>
      <c r="O52" s="346">
        <f>N52/H52</f>
        <v>0.19950548387096775</v>
      </c>
      <c r="P52" s="344">
        <f>L52</f>
        <v>2481533</v>
      </c>
      <c r="Q52" s="567">
        <f t="shared" si="26"/>
        <v>0</v>
      </c>
      <c r="R52" s="567">
        <f t="shared" si="13"/>
        <v>0</v>
      </c>
    </row>
    <row r="53" spans="1:18" ht="15">
      <c r="A53" s="334">
        <v>202120210</v>
      </c>
      <c r="B53" s="354" t="s">
        <v>60</v>
      </c>
      <c r="C53" s="336">
        <f>'PAC INICIAL 2020'!C52</f>
        <v>10000000</v>
      </c>
      <c r="D53" s="342"/>
      <c r="E53" s="338"/>
      <c r="F53" s="339">
        <v>6500000</v>
      </c>
      <c r="G53" s="347"/>
      <c r="H53" s="341">
        <f t="shared" si="31"/>
        <v>16500000</v>
      </c>
      <c r="I53" s="342">
        <f>SEPTIEMBRE!I53+SEPTIEMBRE!J53</f>
        <v>1500000</v>
      </c>
      <c r="J53" s="6">
        <v>0</v>
      </c>
      <c r="K53" s="343">
        <f>L53/H53</f>
        <v>9.0909090909090912E-2</v>
      </c>
      <c r="L53" s="344">
        <f t="shared" si="10"/>
        <v>1500000</v>
      </c>
      <c r="M53" s="522">
        <f t="shared" si="14"/>
        <v>1500000</v>
      </c>
      <c r="N53" s="345">
        <f t="shared" si="3"/>
        <v>15000000</v>
      </c>
      <c r="O53" s="346">
        <f>N53/H53</f>
        <v>0.90909090909090906</v>
      </c>
      <c r="P53" s="344">
        <f t="shared" si="32"/>
        <v>1500000</v>
      </c>
      <c r="Q53" s="567">
        <f t="shared" si="26"/>
        <v>0</v>
      </c>
      <c r="R53" s="567">
        <f t="shared" si="13"/>
        <v>0</v>
      </c>
    </row>
    <row r="54" spans="1:18" ht="15">
      <c r="A54" s="334">
        <v>202120211</v>
      </c>
      <c r="B54" s="351" t="s">
        <v>62</v>
      </c>
      <c r="C54" s="336">
        <f>'PAC INICIAL 2020'!C53</f>
        <v>4000000</v>
      </c>
      <c r="D54" s="342"/>
      <c r="E54" s="338"/>
      <c r="F54" s="339"/>
      <c r="G54" s="347"/>
      <c r="H54" s="341">
        <f t="shared" si="31"/>
        <v>4000000</v>
      </c>
      <c r="I54" s="342">
        <f>SEPTIEMBRE!I54+SEPTIEMBRE!J54</f>
        <v>2439000</v>
      </c>
      <c r="J54" s="6">
        <v>0</v>
      </c>
      <c r="K54" s="343">
        <v>0</v>
      </c>
      <c r="L54" s="344">
        <f t="shared" si="10"/>
        <v>2439000</v>
      </c>
      <c r="M54" s="522">
        <f t="shared" si="14"/>
        <v>2439000</v>
      </c>
      <c r="N54" s="345">
        <f t="shared" si="3"/>
        <v>1561000</v>
      </c>
      <c r="O54" s="346">
        <v>0</v>
      </c>
      <c r="P54" s="344">
        <f t="shared" si="32"/>
        <v>2439000</v>
      </c>
      <c r="Q54" s="567">
        <f t="shared" si="26"/>
        <v>0</v>
      </c>
      <c r="R54" s="567">
        <f t="shared" si="13"/>
        <v>0</v>
      </c>
    </row>
    <row r="55" spans="1:18" ht="15">
      <c r="A55" s="334">
        <v>202120212</v>
      </c>
      <c r="B55" s="351" t="s">
        <v>64</v>
      </c>
      <c r="C55" s="336">
        <f>'PAC INICIAL 2020'!C54</f>
        <v>15000000</v>
      </c>
      <c r="D55" s="342"/>
      <c r="E55" s="338"/>
      <c r="F55" s="339"/>
      <c r="G55" s="347"/>
      <c r="H55" s="341">
        <f t="shared" si="31"/>
        <v>15000000</v>
      </c>
      <c r="I55" s="342">
        <f>SEPTIEMBRE!I55+SEPTIEMBRE!J55</f>
        <v>0</v>
      </c>
      <c r="J55" s="342">
        <v>0</v>
      </c>
      <c r="K55" s="343">
        <v>0</v>
      </c>
      <c r="L55" s="344">
        <f t="shared" si="10"/>
        <v>0</v>
      </c>
      <c r="M55" s="522">
        <f t="shared" si="14"/>
        <v>0</v>
      </c>
      <c r="N55" s="345">
        <f t="shared" si="3"/>
        <v>15000000</v>
      </c>
      <c r="O55" s="346">
        <v>0</v>
      </c>
      <c r="P55" s="344">
        <f t="shared" si="32"/>
        <v>0</v>
      </c>
      <c r="Q55" s="567">
        <f t="shared" si="26"/>
        <v>0</v>
      </c>
      <c r="R55" s="567">
        <f t="shared" si="13"/>
        <v>0</v>
      </c>
    </row>
    <row r="56" spans="1:18" ht="15">
      <c r="A56" s="334">
        <v>202120213</v>
      </c>
      <c r="B56" s="351" t="s">
        <v>65</v>
      </c>
      <c r="C56" s="336">
        <f>'PAC INICIAL 2020'!C55</f>
        <v>0</v>
      </c>
      <c r="D56" s="342"/>
      <c r="E56" s="338"/>
      <c r="F56" s="339"/>
      <c r="G56" s="347"/>
      <c r="H56" s="341">
        <f t="shared" si="31"/>
        <v>0</v>
      </c>
      <c r="I56" s="342">
        <f>SEPTIEMBRE!I56+SEPTIEMBRE!J56</f>
        <v>0</v>
      </c>
      <c r="J56" s="342">
        <v>0</v>
      </c>
      <c r="K56" s="343">
        <v>0</v>
      </c>
      <c r="L56" s="344">
        <f t="shared" si="10"/>
        <v>0</v>
      </c>
      <c r="M56" s="522">
        <f t="shared" si="14"/>
        <v>0</v>
      </c>
      <c r="N56" s="345">
        <f t="shared" si="3"/>
        <v>0</v>
      </c>
      <c r="O56" s="346">
        <v>0</v>
      </c>
      <c r="P56" s="344">
        <f t="shared" si="32"/>
        <v>0</v>
      </c>
      <c r="Q56" s="567">
        <f t="shared" si="26"/>
        <v>0</v>
      </c>
      <c r="R56" s="567">
        <f t="shared" si="13"/>
        <v>0</v>
      </c>
    </row>
    <row r="57" spans="1:18" ht="15">
      <c r="A57" s="334">
        <v>202120214</v>
      </c>
      <c r="B57" s="351" t="s">
        <v>67</v>
      </c>
      <c r="C57" s="336">
        <f>'PAC INICIAL 2020'!C56</f>
        <v>0</v>
      </c>
      <c r="D57" s="342"/>
      <c r="E57" s="338"/>
      <c r="F57" s="339">
        <f>'LIBRO DE PRESUPUESTO'!G536</f>
        <v>3500000</v>
      </c>
      <c r="G57" s="347"/>
      <c r="H57" s="341">
        <f t="shared" si="31"/>
        <v>3500000</v>
      </c>
      <c r="I57" s="342">
        <f>SEPTIEMBRE!I57+SEPTIEMBRE!J57</f>
        <v>0</v>
      </c>
      <c r="J57" s="342">
        <v>0</v>
      </c>
      <c r="K57" s="343">
        <v>0</v>
      </c>
      <c r="L57" s="344">
        <f t="shared" si="10"/>
        <v>0</v>
      </c>
      <c r="M57" s="522">
        <f t="shared" si="14"/>
        <v>0</v>
      </c>
      <c r="N57" s="345">
        <f t="shared" si="3"/>
        <v>3500000</v>
      </c>
      <c r="O57" s="346">
        <v>0</v>
      </c>
      <c r="P57" s="344">
        <f t="shared" si="32"/>
        <v>0</v>
      </c>
      <c r="Q57" s="567">
        <f t="shared" si="26"/>
        <v>0</v>
      </c>
      <c r="R57" s="567">
        <f t="shared" si="13"/>
        <v>0</v>
      </c>
    </row>
    <row r="58" spans="1:18" ht="15">
      <c r="A58" s="358">
        <v>202120215</v>
      </c>
      <c r="B58" s="351" t="s">
        <v>97</v>
      </c>
      <c r="C58" s="336">
        <f>'PAC INICIAL 2020'!C57</f>
        <v>1200000</v>
      </c>
      <c r="D58" s="342"/>
      <c r="E58" s="338"/>
      <c r="F58" s="339"/>
      <c r="G58" s="347"/>
      <c r="H58" s="341">
        <f t="shared" si="31"/>
        <v>1200000</v>
      </c>
      <c r="I58" s="342">
        <f>SEPTIEMBRE!I58+SEPTIEMBRE!J58</f>
        <v>0</v>
      </c>
      <c r="J58" s="342">
        <v>0</v>
      </c>
      <c r="K58" s="343">
        <f>L58/H58</f>
        <v>0</v>
      </c>
      <c r="L58" s="344">
        <f t="shared" si="10"/>
        <v>0</v>
      </c>
      <c r="M58" s="522">
        <f t="shared" si="14"/>
        <v>0</v>
      </c>
      <c r="N58" s="345">
        <f t="shared" si="3"/>
        <v>1200000</v>
      </c>
      <c r="O58" s="346">
        <f>N58/H58</f>
        <v>1</v>
      </c>
      <c r="P58" s="344">
        <f t="shared" si="32"/>
        <v>0</v>
      </c>
      <c r="Q58" s="567">
        <f t="shared" si="26"/>
        <v>0</v>
      </c>
      <c r="R58" s="567">
        <f t="shared" si="13"/>
        <v>0</v>
      </c>
    </row>
    <row r="59" spans="1:18" ht="15">
      <c r="A59" s="358">
        <v>202120216</v>
      </c>
      <c r="B59" s="351" t="s">
        <v>148</v>
      </c>
      <c r="C59" s="336">
        <f>'PAC INICIAL 2020'!C58</f>
        <v>1000000</v>
      </c>
      <c r="D59" s="342"/>
      <c r="E59" s="338"/>
      <c r="F59" s="339"/>
      <c r="G59" s="347"/>
      <c r="H59" s="341">
        <f>C59-D59+E59+F59-G59</f>
        <v>1000000</v>
      </c>
      <c r="I59" s="342">
        <f>SEPTIEMBRE!I59+SEPTIEMBRE!J59</f>
        <v>0</v>
      </c>
      <c r="J59" s="342">
        <v>0</v>
      </c>
      <c r="K59" s="343">
        <f>L59/H59</f>
        <v>0</v>
      </c>
      <c r="L59" s="344">
        <f t="shared" si="10"/>
        <v>0</v>
      </c>
      <c r="M59" s="522">
        <f t="shared" si="14"/>
        <v>0</v>
      </c>
      <c r="N59" s="345">
        <f>H59-L59</f>
        <v>1000000</v>
      </c>
      <c r="O59" s="346">
        <f>N59/H59</f>
        <v>1</v>
      </c>
      <c r="P59" s="344">
        <f t="shared" si="32"/>
        <v>0</v>
      </c>
      <c r="Q59" s="567">
        <f t="shared" si="26"/>
        <v>0</v>
      </c>
      <c r="R59" s="567">
        <f t="shared" si="13"/>
        <v>0</v>
      </c>
    </row>
    <row r="60" spans="1:18" ht="27" customHeight="1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12000000</v>
      </c>
      <c r="H60" s="329">
        <f>SUM(H61:H61)</f>
        <v>63000000</v>
      </c>
      <c r="I60" s="329">
        <f>SUM(I61:I61)</f>
        <v>62645000</v>
      </c>
      <c r="J60" s="329">
        <f>SUM(J61:J61)</f>
        <v>0</v>
      </c>
      <c r="K60" s="330">
        <f>K61</f>
        <v>1</v>
      </c>
      <c r="L60" s="331">
        <f>L61</f>
        <v>62645000</v>
      </c>
      <c r="M60" s="348">
        <f t="shared" si="14"/>
        <v>62645000</v>
      </c>
      <c r="N60" s="348">
        <f>SUM(N61:N61)</f>
        <v>355000</v>
      </c>
      <c r="O60" s="332">
        <v>0</v>
      </c>
      <c r="P60" s="329">
        <f>SUM(P61:P61)</f>
        <v>62645000</v>
      </c>
      <c r="Q60" s="329">
        <f>SUM(Q61:Q61)</f>
        <v>0</v>
      </c>
      <c r="R60" s="329">
        <f>SUM(R61:R61)</f>
        <v>0</v>
      </c>
    </row>
    <row r="61" spans="1:18" ht="15">
      <c r="A61" s="368">
        <v>202130101</v>
      </c>
      <c r="B61" s="369" t="s">
        <v>96</v>
      </c>
      <c r="C61" s="336">
        <f>'PAC INICIAL 2020'!C76</f>
        <v>75000000</v>
      </c>
      <c r="D61" s="370">
        <v>0</v>
      </c>
      <c r="E61" s="371"/>
      <c r="F61" s="372"/>
      <c r="G61" s="373">
        <f>'LIBRO DE PRESUPUESTO'!H760</f>
        <v>12000000</v>
      </c>
      <c r="H61" s="341">
        <f>C61-D61+E61+F61-G61</f>
        <v>63000000</v>
      </c>
      <c r="I61" s="342">
        <f>SEPTIEMBRE!I61+SEPTIEMBRE!J61</f>
        <v>62645000</v>
      </c>
      <c r="J61" s="370">
        <v>0</v>
      </c>
      <c r="K61" s="343">
        <v>1</v>
      </c>
      <c r="L61" s="344">
        <f>J61+I61</f>
        <v>62645000</v>
      </c>
      <c r="M61" s="522">
        <f t="shared" si="14"/>
        <v>62645000</v>
      </c>
      <c r="N61" s="345">
        <f t="shared" si="3"/>
        <v>355000</v>
      </c>
      <c r="O61" s="346">
        <v>0</v>
      </c>
      <c r="P61" s="344">
        <f t="shared" si="32"/>
        <v>62645000</v>
      </c>
      <c r="Q61" s="567">
        <f t="shared" si="26"/>
        <v>0</v>
      </c>
      <c r="R61" s="344"/>
    </row>
    <row r="62" spans="1:18" s="380" customFormat="1" ht="31.5" customHeight="1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167244166</v>
      </c>
      <c r="F62" s="377">
        <f>F8+F18+F38+F43++F22+F27+F60</f>
        <v>289000000</v>
      </c>
      <c r="G62" s="377">
        <f>G8+G18+G38+G43+G22+G27+G60</f>
        <v>289000000</v>
      </c>
      <c r="H62" s="377">
        <f>H8+H18+H38+H43+H22+H27+H60</f>
        <v>1322370231</v>
      </c>
      <c r="I62" s="377">
        <f>I8+I18+I38+I43+I22+I27+I60</f>
        <v>767167149.44652772</v>
      </c>
      <c r="J62" s="377">
        <f>J8+J18+J38+J43+J22+J27+J60</f>
        <v>90160289</v>
      </c>
      <c r="K62" s="378">
        <f>L62/H62</f>
        <v>0.64832632975880089</v>
      </c>
      <c r="L62" s="377">
        <f>L8+L18+L38+L43+L22+L27+L60</f>
        <v>857327438.44652772</v>
      </c>
      <c r="M62" s="377">
        <f>M8+M18+M38+M43+M22+M27+M60</f>
        <v>857327438.44652772</v>
      </c>
      <c r="N62" s="377">
        <f>N8+N18+N38+N43+N22+N27+N60</f>
        <v>465042792.55347222</v>
      </c>
      <c r="O62" s="379">
        <f>N62/H62</f>
        <v>0.35167367024119905</v>
      </c>
      <c r="P62" s="377">
        <f>P8+P18+P38+P43+P22+P27+P60</f>
        <v>817281238.44652772</v>
      </c>
      <c r="Q62" s="568">
        <f>Q9+Q18+Q22+Q27+Q44+Q49+Q60</f>
        <v>29600000</v>
      </c>
      <c r="R62" s="377">
        <f>R9+R18+R22+R27+R44+R49+R60</f>
        <v>0</v>
      </c>
    </row>
    <row r="63" spans="1:18" ht="35.25" customHeight="1">
      <c r="A63" s="621" t="s">
        <v>172</v>
      </c>
      <c r="B63" s="683" t="s">
        <v>173</v>
      </c>
      <c r="C63" s="684"/>
      <c r="D63" s="684"/>
      <c r="E63" s="684"/>
      <c r="F63" s="684"/>
      <c r="G63" s="684"/>
      <c r="H63" s="684"/>
      <c r="I63" s="684"/>
      <c r="J63" s="684"/>
      <c r="K63" s="684"/>
      <c r="L63" s="684"/>
      <c r="M63" s="684"/>
      <c r="N63" s="684"/>
      <c r="O63" s="685"/>
      <c r="P63" s="381"/>
      <c r="Q63" s="381"/>
      <c r="R63" s="381"/>
    </row>
    <row r="65" spans="4:14">
      <c r="D65" s="382"/>
      <c r="E65" s="382"/>
      <c r="F65" s="382"/>
      <c r="G65" s="382"/>
      <c r="N65" s="382"/>
    </row>
    <row r="66" spans="4:14">
      <c r="G66" s="382"/>
      <c r="I66" s="382"/>
      <c r="J66" s="385"/>
      <c r="N66" s="382"/>
    </row>
    <row r="67" spans="4:14">
      <c r="D67" s="382"/>
      <c r="J67" s="382"/>
      <c r="K67" s="382"/>
      <c r="N67" s="382"/>
    </row>
    <row r="68" spans="4:14">
      <c r="H68" s="382"/>
      <c r="J68" s="382"/>
      <c r="N68" s="382"/>
    </row>
    <row r="69" spans="4:14">
      <c r="H69" s="382"/>
      <c r="J69" s="382"/>
    </row>
  </sheetData>
  <mergeCells count="5">
    <mergeCell ref="A1:O1"/>
    <mergeCell ref="A2:O2"/>
    <mergeCell ref="A3:O3"/>
    <mergeCell ref="K5:K6"/>
    <mergeCell ref="B63:O63"/>
  </mergeCells>
  <printOptions horizontalCentered="1" verticalCentered="1"/>
  <pageMargins left="0.23622047244094491" right="0.23622047244094491" top="0.39370078740157483" bottom="0.39370078740157483" header="0" footer="0"/>
  <pageSetup paperSize="14" scale="52" orientation="landscape" r:id="rId1"/>
  <headerFooter alignWithMargins="0"/>
  <ignoredErrors>
    <ignoredError sqref="J45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showGridLines="0" zoomScale="80" zoomScaleNormal="80" zoomScaleSheetLayoutView="80" workbookViewId="0">
      <pane xSplit="2" ySplit="7" topLeftCell="C8" activePane="bottomRight" state="frozen"/>
      <selection activeCell="J228" sqref="J228"/>
      <selection pane="topRight" activeCell="J228" sqref="J228"/>
      <selection pane="bottomLeft" activeCell="J228" sqref="J228"/>
      <selection pane="bottomRight" activeCell="J228" sqref="J228"/>
    </sheetView>
  </sheetViews>
  <sheetFormatPr baseColWidth="10" defaultRowHeight="14.25"/>
  <cols>
    <col min="1" max="1" width="16" style="383" customWidth="1"/>
    <col min="2" max="2" width="35.25" style="1" customWidth="1"/>
    <col min="3" max="3" width="18.125" style="1" bestFit="1" customWidth="1"/>
    <col min="4" max="4" width="13.5" style="1" bestFit="1" customWidth="1"/>
    <col min="5" max="6" width="14.75" style="1" bestFit="1" customWidth="1"/>
    <col min="7" max="7" width="15.125" style="1" bestFit="1" customWidth="1"/>
    <col min="8" max="8" width="17.875" style="1" bestFit="1" customWidth="1"/>
    <col min="9" max="9" width="17.125" style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5.75" style="384" customWidth="1"/>
    <col min="14" max="14" width="16.875" style="1" bestFit="1" customWidth="1"/>
    <col min="15" max="15" width="8.5" style="1" customWidth="1"/>
    <col min="16" max="16" width="16.5" style="1" customWidth="1"/>
    <col min="17" max="17" width="20.625" style="1" customWidth="1"/>
    <col min="18" max="18" width="14.875" style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>
      <c r="A1" s="679" t="s">
        <v>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17"/>
      <c r="Q1" s="617"/>
      <c r="R1" s="617"/>
    </row>
    <row r="2" spans="1:18" ht="18">
      <c r="A2" s="680" t="s">
        <v>156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18"/>
      <c r="Q2" s="618"/>
      <c r="R2" s="618"/>
    </row>
    <row r="3" spans="1:18" ht="18">
      <c r="A3" s="680" t="s">
        <v>294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18"/>
      <c r="Q3" s="618"/>
      <c r="R3" s="618"/>
    </row>
    <row r="4" spans="1:18" ht="18.75" thickBot="1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2"/>
      <c r="N4" s="300"/>
      <c r="O4" s="303"/>
    </row>
    <row r="5" spans="1:18" s="537" customFormat="1" ht="23.25" customHeight="1">
      <c r="A5" s="569" t="s">
        <v>157</v>
      </c>
      <c r="B5" s="570" t="s">
        <v>1</v>
      </c>
      <c r="C5" s="658" t="s">
        <v>254</v>
      </c>
      <c r="D5" s="533" t="s">
        <v>159</v>
      </c>
      <c r="E5" s="659" t="s">
        <v>160</v>
      </c>
      <c r="F5" s="659" t="s">
        <v>2</v>
      </c>
      <c r="G5" s="658" t="s">
        <v>161</v>
      </c>
      <c r="H5" s="533" t="s">
        <v>162</v>
      </c>
      <c r="I5" s="659" t="s">
        <v>207</v>
      </c>
      <c r="J5" s="658" t="s">
        <v>164</v>
      </c>
      <c r="K5" s="681" t="s">
        <v>165</v>
      </c>
      <c r="L5" s="535" t="s">
        <v>162</v>
      </c>
      <c r="M5" s="535"/>
      <c r="N5" s="658" t="s">
        <v>166</v>
      </c>
      <c r="O5" s="536" t="s">
        <v>165</v>
      </c>
      <c r="P5" s="533" t="s">
        <v>226</v>
      </c>
      <c r="Q5" s="533" t="s">
        <v>227</v>
      </c>
      <c r="R5" s="533" t="s">
        <v>228</v>
      </c>
    </row>
    <row r="6" spans="1:18" s="537" customFormat="1" ht="23.25" customHeight="1" thickBot="1">
      <c r="A6" s="571"/>
      <c r="B6" s="572"/>
      <c r="C6" s="573" t="s">
        <v>3</v>
      </c>
      <c r="D6" s="574"/>
      <c r="E6" s="575"/>
      <c r="F6" s="575"/>
      <c r="G6" s="573" t="s">
        <v>2</v>
      </c>
      <c r="H6" s="574" t="s">
        <v>158</v>
      </c>
      <c r="I6" s="576" t="s">
        <v>167</v>
      </c>
      <c r="J6" s="573" t="s">
        <v>168</v>
      </c>
      <c r="K6" s="682"/>
      <c r="L6" s="577" t="s">
        <v>255</v>
      </c>
      <c r="M6" s="577" t="s">
        <v>231</v>
      </c>
      <c r="N6" s="573" t="s">
        <v>170</v>
      </c>
      <c r="O6" s="578"/>
      <c r="P6" s="574" t="s">
        <v>253</v>
      </c>
      <c r="Q6" s="574" t="s">
        <v>229</v>
      </c>
      <c r="R6" s="574" t="s">
        <v>230</v>
      </c>
    </row>
    <row r="7" spans="1:18" ht="1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4"/>
      <c r="N7" s="325"/>
      <c r="O7" s="326"/>
      <c r="P7" s="566"/>
      <c r="Q7" s="566"/>
      <c r="R7" s="566"/>
    </row>
    <row r="8" spans="1:18" s="333" customFormat="1" ht="27.75" customHeight="1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167244166</v>
      </c>
      <c r="F8" s="329">
        <f t="shared" si="0"/>
        <v>0</v>
      </c>
      <c r="G8" s="329">
        <f t="shared" si="0"/>
        <v>75000000</v>
      </c>
      <c r="H8" s="329">
        <f t="shared" si="0"/>
        <v>742621490</v>
      </c>
      <c r="I8" s="329">
        <f t="shared" si="0"/>
        <v>363480302.44652778</v>
      </c>
      <c r="J8" s="329">
        <f>SUM(J9:J17)</f>
        <v>44433484</v>
      </c>
      <c r="K8" s="330">
        <f t="shared" ref="K8:K19" si="1">L8/H8</f>
        <v>0.54928896071473476</v>
      </c>
      <c r="L8" s="331">
        <f>SUM(L9:L17)</f>
        <v>407913786.44652778</v>
      </c>
      <c r="M8" s="331">
        <f>SUM(M9:M17)</f>
        <v>407913786.44652778</v>
      </c>
      <c r="N8" s="329">
        <f>SUM(N9:N17)</f>
        <v>334707703.55347222</v>
      </c>
      <c r="O8" s="332">
        <f>N8/H8</f>
        <v>0.45071103928526524</v>
      </c>
      <c r="P8" s="329">
        <f>SUM(P9:P17)</f>
        <v>407913786.44652778</v>
      </c>
      <c r="Q8" s="329">
        <f>SUM(Q9:Q17)</f>
        <v>0</v>
      </c>
      <c r="R8" s="329">
        <f>SUM(R9:R17)</f>
        <v>0</v>
      </c>
    </row>
    <row r="9" spans="1:18" ht="15">
      <c r="A9" s="334">
        <v>202110101</v>
      </c>
      <c r="B9" s="335" t="s">
        <v>7</v>
      </c>
      <c r="C9" s="336">
        <v>488231324</v>
      </c>
      <c r="D9" s="337"/>
      <c r="E9" s="338"/>
      <c r="F9" s="339"/>
      <c r="G9" s="340">
        <v>75000000</v>
      </c>
      <c r="H9" s="341">
        <f>C9-D9+E9+F9-G9</f>
        <v>413231324</v>
      </c>
      <c r="I9" s="342">
        <v>267764249</v>
      </c>
      <c r="J9" s="4"/>
      <c r="K9" s="343">
        <f t="shared" si="1"/>
        <v>0.64797664999858529</v>
      </c>
      <c r="L9" s="344">
        <f t="shared" ref="L9:L15" si="2">J9+I9</f>
        <v>267764249</v>
      </c>
      <c r="M9" s="522">
        <f>I9+J9</f>
        <v>267764249</v>
      </c>
      <c r="N9" s="345">
        <f t="shared" ref="N9:N61" si="3">H9-L9</f>
        <v>145467075</v>
      </c>
      <c r="O9" s="346">
        <f>N9/H9</f>
        <v>0.35202335000141471</v>
      </c>
      <c r="P9" s="567">
        <f>M9</f>
        <v>267764249</v>
      </c>
      <c r="Q9" s="567">
        <f>M9-P9</f>
        <v>0</v>
      </c>
      <c r="R9" s="567">
        <f>L9-M9</f>
        <v>0</v>
      </c>
    </row>
    <row r="10" spans="1:18" ht="15">
      <c r="A10" s="334">
        <v>202110101</v>
      </c>
      <c r="B10" s="335" t="s">
        <v>217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v>57442720</v>
      </c>
      <c r="J10" s="4">
        <v>40893290</v>
      </c>
      <c r="K10" s="343">
        <f t="shared" si="1"/>
        <v>0.58797871610062624</v>
      </c>
      <c r="L10" s="344">
        <f t="shared" si="2"/>
        <v>98336010</v>
      </c>
      <c r="M10" s="522">
        <f t="shared" ref="M10:M17" si="4">I10+J10</f>
        <v>98336010</v>
      </c>
      <c r="N10" s="345">
        <f t="shared" si="3"/>
        <v>68908156</v>
      </c>
      <c r="O10" s="346">
        <f>N10/H10</f>
        <v>0.41202128389937381</v>
      </c>
      <c r="P10" s="567">
        <f>L10</f>
        <v>98336010</v>
      </c>
      <c r="Q10" s="567">
        <f t="shared" ref="Q10:Q17" si="5">M10-P10</f>
        <v>0</v>
      </c>
      <c r="R10" s="567">
        <f t="shared" ref="R10:R17" si="6">L10-M10</f>
        <v>0</v>
      </c>
    </row>
    <row r="11" spans="1:18" ht="15">
      <c r="A11" s="334">
        <v>202110103</v>
      </c>
      <c r="B11" s="335" t="s">
        <v>11</v>
      </c>
      <c r="C11" s="336">
        <v>1246000</v>
      </c>
      <c r="D11" s="337"/>
      <c r="E11" s="338"/>
      <c r="F11" s="339"/>
      <c r="G11" s="347"/>
      <c r="H11" s="341">
        <f t="shared" ref="H11:H21" si="7">C11-D11+E11+F11-G11</f>
        <v>1246000</v>
      </c>
      <c r="I11" s="342">
        <v>822832</v>
      </c>
      <c r="J11" s="342">
        <v>102854</v>
      </c>
      <c r="K11" s="343">
        <f t="shared" si="1"/>
        <v>0.74292616372391651</v>
      </c>
      <c r="L11" s="344">
        <f t="shared" si="2"/>
        <v>925686</v>
      </c>
      <c r="M11" s="522">
        <f t="shared" si="4"/>
        <v>925686</v>
      </c>
      <c r="N11" s="345">
        <f t="shared" si="3"/>
        <v>320314</v>
      </c>
      <c r="O11" s="346">
        <f t="shared" ref="O11:O19" si="8">N11/H11</f>
        <v>0.25707383627608349</v>
      </c>
      <c r="P11" s="567">
        <f t="shared" ref="P11:P26" si="9">L11</f>
        <v>925686</v>
      </c>
      <c r="Q11" s="567">
        <f t="shared" si="5"/>
        <v>0</v>
      </c>
      <c r="R11" s="567">
        <f t="shared" si="6"/>
        <v>0</v>
      </c>
    </row>
    <row r="12" spans="1:18" ht="15.75" customHeight="1">
      <c r="A12" s="334">
        <v>202110104</v>
      </c>
      <c r="B12" s="335" t="s">
        <v>13</v>
      </c>
      <c r="C12" s="336">
        <v>900000</v>
      </c>
      <c r="D12" s="337"/>
      <c r="E12" s="338"/>
      <c r="F12" s="339"/>
      <c r="G12" s="347"/>
      <c r="H12" s="341">
        <f t="shared" si="7"/>
        <v>900000</v>
      </c>
      <c r="I12" s="342">
        <v>528784</v>
      </c>
      <c r="J12" s="342">
        <v>66098</v>
      </c>
      <c r="K12" s="343">
        <f t="shared" si="1"/>
        <v>0.66098000000000001</v>
      </c>
      <c r="L12" s="344">
        <f t="shared" si="2"/>
        <v>594882</v>
      </c>
      <c r="M12" s="522">
        <f t="shared" si="4"/>
        <v>594882</v>
      </c>
      <c r="N12" s="345">
        <f t="shared" si="3"/>
        <v>305118</v>
      </c>
      <c r="O12" s="346">
        <f t="shared" si="8"/>
        <v>0.33901999999999999</v>
      </c>
      <c r="P12" s="567">
        <f t="shared" si="9"/>
        <v>594882</v>
      </c>
      <c r="Q12" s="567">
        <f t="shared" si="5"/>
        <v>0</v>
      </c>
      <c r="R12" s="567">
        <f t="shared" si="6"/>
        <v>0</v>
      </c>
    </row>
    <row r="13" spans="1:18" ht="15">
      <c r="A13" s="334">
        <v>202110105</v>
      </c>
      <c r="B13" s="335" t="s">
        <v>15</v>
      </c>
      <c r="C13" s="336">
        <v>17000000</v>
      </c>
      <c r="D13" s="337"/>
      <c r="E13" s="338"/>
      <c r="F13" s="339"/>
      <c r="G13" s="347"/>
      <c r="H13" s="341">
        <f t="shared" si="7"/>
        <v>17000000</v>
      </c>
      <c r="I13" s="342">
        <v>5839085</v>
      </c>
      <c r="J13" s="4">
        <v>3371242</v>
      </c>
      <c r="K13" s="343">
        <f t="shared" si="1"/>
        <v>0.54178394117647055</v>
      </c>
      <c r="L13" s="344">
        <f t="shared" si="2"/>
        <v>9210327</v>
      </c>
      <c r="M13" s="522">
        <f t="shared" si="4"/>
        <v>9210327</v>
      </c>
      <c r="N13" s="345">
        <f t="shared" si="3"/>
        <v>7789673</v>
      </c>
      <c r="O13" s="346">
        <f t="shared" si="8"/>
        <v>0.45821605882352939</v>
      </c>
      <c r="P13" s="567">
        <f t="shared" si="9"/>
        <v>9210327</v>
      </c>
      <c r="Q13" s="567">
        <f t="shared" si="5"/>
        <v>0</v>
      </c>
      <c r="R13" s="567">
        <f t="shared" si="6"/>
        <v>0</v>
      </c>
    </row>
    <row r="14" spans="1:18" ht="15">
      <c r="A14" s="334">
        <v>202110106</v>
      </c>
      <c r="B14" s="335" t="s">
        <v>17</v>
      </c>
      <c r="C14" s="336">
        <v>24000000</v>
      </c>
      <c r="D14" s="337"/>
      <c r="E14" s="338"/>
      <c r="F14" s="339"/>
      <c r="G14" s="347"/>
      <c r="H14" s="341">
        <f t="shared" si="7"/>
        <v>24000000</v>
      </c>
      <c r="I14" s="342">
        <v>20831174.446527779</v>
      </c>
      <c r="J14" s="4">
        <v>0</v>
      </c>
      <c r="K14" s="343">
        <f t="shared" si="1"/>
        <v>0.86796560193865746</v>
      </c>
      <c r="L14" s="344">
        <f t="shared" si="2"/>
        <v>20831174.446527779</v>
      </c>
      <c r="M14" s="522">
        <f t="shared" si="4"/>
        <v>20831174.446527779</v>
      </c>
      <c r="N14" s="345">
        <f t="shared" si="3"/>
        <v>3168825.5534722209</v>
      </c>
      <c r="O14" s="346">
        <f t="shared" si="8"/>
        <v>0.13203439806134254</v>
      </c>
      <c r="P14" s="567">
        <f t="shared" si="9"/>
        <v>20831174.446527779</v>
      </c>
      <c r="Q14" s="567">
        <f t="shared" si="5"/>
        <v>0</v>
      </c>
      <c r="R14" s="567">
        <f t="shared" si="6"/>
        <v>0</v>
      </c>
    </row>
    <row r="15" spans="1:18" ht="15">
      <c r="A15" s="334">
        <v>202110107</v>
      </c>
      <c r="B15" s="335" t="s">
        <v>19</v>
      </c>
      <c r="C15" s="336">
        <v>28000000</v>
      </c>
      <c r="D15" s="337"/>
      <c r="E15" s="338"/>
      <c r="F15" s="339"/>
      <c r="G15" s="347"/>
      <c r="H15" s="341">
        <f t="shared" si="7"/>
        <v>28000000</v>
      </c>
      <c r="I15" s="342">
        <v>3558184</v>
      </c>
      <c r="J15" s="4">
        <v>0</v>
      </c>
      <c r="K15" s="343">
        <f t="shared" si="1"/>
        <v>0.127078</v>
      </c>
      <c r="L15" s="344">
        <f t="shared" si="2"/>
        <v>3558184</v>
      </c>
      <c r="M15" s="522">
        <f t="shared" si="4"/>
        <v>3558184</v>
      </c>
      <c r="N15" s="345">
        <f t="shared" si="3"/>
        <v>24441816</v>
      </c>
      <c r="O15" s="346">
        <f t="shared" si="8"/>
        <v>0.87292199999999998</v>
      </c>
      <c r="P15" s="567">
        <f t="shared" si="9"/>
        <v>3558184</v>
      </c>
      <c r="Q15" s="567">
        <f t="shared" si="5"/>
        <v>0</v>
      </c>
      <c r="R15" s="567">
        <f t="shared" si="6"/>
        <v>0</v>
      </c>
    </row>
    <row r="16" spans="1:18" ht="15">
      <c r="A16" s="334">
        <v>202110109</v>
      </c>
      <c r="B16" s="335" t="s">
        <v>20</v>
      </c>
      <c r="C16" s="336">
        <v>36000000</v>
      </c>
      <c r="D16" s="337"/>
      <c r="E16" s="338"/>
      <c r="F16" s="339"/>
      <c r="G16" s="347"/>
      <c r="H16" s="341">
        <f t="shared" si="7"/>
        <v>36000000</v>
      </c>
      <c r="I16" s="342">
        <v>5287971</v>
      </c>
      <c r="J16" s="4">
        <v>0</v>
      </c>
      <c r="K16" s="343">
        <f t="shared" si="1"/>
        <v>0.14688808333333334</v>
      </c>
      <c r="L16" s="344">
        <f>J16+I16</f>
        <v>5287971</v>
      </c>
      <c r="M16" s="522">
        <f t="shared" si="4"/>
        <v>5287971</v>
      </c>
      <c r="N16" s="345">
        <f t="shared" si="3"/>
        <v>30712029</v>
      </c>
      <c r="O16" s="346">
        <f t="shared" si="8"/>
        <v>0.85311191666666664</v>
      </c>
      <c r="P16" s="567">
        <f t="shared" si="9"/>
        <v>5287971</v>
      </c>
      <c r="Q16" s="567">
        <f t="shared" si="5"/>
        <v>0</v>
      </c>
      <c r="R16" s="567">
        <f t="shared" si="6"/>
        <v>0</v>
      </c>
    </row>
    <row r="17" spans="1:18" ht="15">
      <c r="A17" s="334">
        <v>202110108</v>
      </c>
      <c r="B17" s="335" t="s">
        <v>21</v>
      </c>
      <c r="C17" s="336">
        <v>55000000</v>
      </c>
      <c r="D17" s="337"/>
      <c r="E17" s="338"/>
      <c r="F17" s="339"/>
      <c r="G17" s="347"/>
      <c r="H17" s="341">
        <f t="shared" si="7"/>
        <v>55000000</v>
      </c>
      <c r="I17" s="342">
        <v>1405303</v>
      </c>
      <c r="J17" s="4">
        <v>0</v>
      </c>
      <c r="K17" s="343">
        <f t="shared" si="1"/>
        <v>2.5550963636363635E-2</v>
      </c>
      <c r="L17" s="344">
        <f t="shared" ref="L17:L59" si="10">J17+I17</f>
        <v>1405303</v>
      </c>
      <c r="M17" s="522">
        <f t="shared" si="4"/>
        <v>1405303</v>
      </c>
      <c r="N17" s="345">
        <f t="shared" si="3"/>
        <v>53594697</v>
      </c>
      <c r="O17" s="346">
        <f t="shared" si="8"/>
        <v>0.97444903636363633</v>
      </c>
      <c r="P17" s="567">
        <f t="shared" si="9"/>
        <v>1405303</v>
      </c>
      <c r="Q17" s="567">
        <f t="shared" si="5"/>
        <v>0</v>
      </c>
      <c r="R17" s="567">
        <f t="shared" si="6"/>
        <v>0</v>
      </c>
    </row>
    <row r="18" spans="1:18" s="349" customFormat="1" ht="27.75" customHeight="1">
      <c r="A18" s="327">
        <v>2021102</v>
      </c>
      <c r="B18" s="328" t="s">
        <v>23</v>
      </c>
      <c r="C18" s="329">
        <f t="shared" ref="C18:J18" si="11">SUM(C19:C21)</f>
        <v>20000000</v>
      </c>
      <c r="D18" s="329">
        <f t="shared" si="11"/>
        <v>0</v>
      </c>
      <c r="E18" s="329">
        <f t="shared" si="11"/>
        <v>0</v>
      </c>
      <c r="F18" s="329">
        <f t="shared" si="11"/>
        <v>91500000</v>
      </c>
      <c r="G18" s="329">
        <f t="shared" si="11"/>
        <v>0</v>
      </c>
      <c r="H18" s="329">
        <f t="shared" si="11"/>
        <v>111500000</v>
      </c>
      <c r="I18" s="329">
        <f t="shared" si="11"/>
        <v>106500000</v>
      </c>
      <c r="J18" s="329">
        <f t="shared" si="11"/>
        <v>0</v>
      </c>
      <c r="K18" s="330">
        <f t="shared" si="1"/>
        <v>0.95515695067264572</v>
      </c>
      <c r="L18" s="348">
        <f>SUM(L19:L21)</f>
        <v>106500000</v>
      </c>
      <c r="M18" s="348">
        <f>SUM(M19:M21)</f>
        <v>106500000</v>
      </c>
      <c r="N18" s="348">
        <f>SUM(N19:N21)</f>
        <v>5000000</v>
      </c>
      <c r="O18" s="332">
        <f t="shared" si="8"/>
        <v>4.4843049327354258E-2</v>
      </c>
      <c r="P18" s="329">
        <f>SUM(P19:P21)</f>
        <v>78000000</v>
      </c>
      <c r="Q18" s="329">
        <f>SUM(Q19:Q21)</f>
        <v>28500000</v>
      </c>
      <c r="R18" s="329">
        <f>SUM(R19:R21)</f>
        <v>0</v>
      </c>
    </row>
    <row r="19" spans="1:18" ht="15">
      <c r="A19" s="334">
        <v>202110201</v>
      </c>
      <c r="B19" s="350" t="s">
        <v>25</v>
      </c>
      <c r="C19" s="336">
        <v>20000000</v>
      </c>
      <c r="D19" s="342"/>
      <c r="E19" s="338"/>
      <c r="F19" s="339">
        <v>67000000</v>
      </c>
      <c r="G19" s="347"/>
      <c r="H19" s="341">
        <f t="shared" si="7"/>
        <v>87000000</v>
      </c>
      <c r="I19" s="342">
        <v>82000000</v>
      </c>
      <c r="J19" s="342">
        <v>0</v>
      </c>
      <c r="K19" s="343">
        <f t="shared" si="1"/>
        <v>0.94252873563218387</v>
      </c>
      <c r="L19" s="344">
        <f t="shared" si="10"/>
        <v>82000000</v>
      </c>
      <c r="M19" s="522">
        <f>I19+J19</f>
        <v>82000000</v>
      </c>
      <c r="N19" s="345">
        <f t="shared" si="3"/>
        <v>5000000</v>
      </c>
      <c r="O19" s="346">
        <f t="shared" si="8"/>
        <v>5.7471264367816091E-2</v>
      </c>
      <c r="P19" s="567">
        <f>L19-16000000-5000000</f>
        <v>61000000</v>
      </c>
      <c r="Q19" s="567">
        <f t="shared" ref="Q19:Q26" si="12">M19-P19</f>
        <v>21000000</v>
      </c>
      <c r="R19" s="567">
        <f t="shared" ref="R19:R59" si="13">L19-M19</f>
        <v>0</v>
      </c>
    </row>
    <row r="20" spans="1:18" ht="1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v>24500000</v>
      </c>
      <c r="G20" s="347"/>
      <c r="H20" s="341">
        <f t="shared" si="7"/>
        <v>24500000</v>
      </c>
      <c r="I20" s="342">
        <v>24500000</v>
      </c>
      <c r="J20" s="342">
        <v>0</v>
      </c>
      <c r="K20" s="343">
        <v>0</v>
      </c>
      <c r="L20" s="344">
        <f t="shared" si="10"/>
        <v>24500000</v>
      </c>
      <c r="M20" s="522">
        <f t="shared" ref="M20:M61" si="14">I20+J20</f>
        <v>24500000</v>
      </c>
      <c r="N20" s="345">
        <f t="shared" si="3"/>
        <v>0</v>
      </c>
      <c r="O20" s="346">
        <v>0</v>
      </c>
      <c r="P20" s="567">
        <f>L20-7500000</f>
        <v>17000000</v>
      </c>
      <c r="Q20" s="567">
        <f t="shared" si="12"/>
        <v>7500000</v>
      </c>
      <c r="R20" s="567">
        <f t="shared" si="13"/>
        <v>0</v>
      </c>
    </row>
    <row r="21" spans="1:18" ht="1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7"/>
        <v>0</v>
      </c>
      <c r="I21" s="342">
        <v>0</v>
      </c>
      <c r="J21" s="2">
        <v>0</v>
      </c>
      <c r="K21" s="343">
        <v>0</v>
      </c>
      <c r="L21" s="344">
        <f t="shared" si="10"/>
        <v>0</v>
      </c>
      <c r="M21" s="522">
        <f t="shared" si="14"/>
        <v>0</v>
      </c>
      <c r="N21" s="345">
        <f t="shared" si="3"/>
        <v>0</v>
      </c>
      <c r="O21" s="346">
        <v>0</v>
      </c>
      <c r="P21" s="567">
        <f t="shared" si="9"/>
        <v>0</v>
      </c>
      <c r="Q21" s="567">
        <f t="shared" si="12"/>
        <v>0</v>
      </c>
      <c r="R21" s="567">
        <f t="shared" si="13"/>
        <v>0</v>
      </c>
    </row>
    <row r="22" spans="1:18" ht="30">
      <c r="A22" s="327">
        <v>2021103</v>
      </c>
      <c r="B22" s="359" t="s">
        <v>69</v>
      </c>
      <c r="C22" s="360">
        <f>SUM(C23:C26)</f>
        <v>83629741</v>
      </c>
      <c r="D22" s="360">
        <f t="shared" ref="D22:J22" si="15">SUM(D23:D26)</f>
        <v>0</v>
      </c>
      <c r="E22" s="360">
        <f t="shared" si="15"/>
        <v>0</v>
      </c>
      <c r="F22" s="360">
        <f t="shared" si="15"/>
        <v>0</v>
      </c>
      <c r="G22" s="360">
        <f t="shared" si="15"/>
        <v>0</v>
      </c>
      <c r="H22" s="360">
        <f t="shared" si="15"/>
        <v>83629741</v>
      </c>
      <c r="I22" s="360">
        <f t="shared" si="15"/>
        <v>36250563</v>
      </c>
      <c r="J22" s="360">
        <f t="shared" si="15"/>
        <v>4456281</v>
      </c>
      <c r="K22" s="330">
        <f>L22/H22</f>
        <v>0.48675080794522607</v>
      </c>
      <c r="L22" s="583">
        <f>SUM(L23:L26)</f>
        <v>40706844</v>
      </c>
      <c r="M22" s="583">
        <f>SUM(M23:M26)</f>
        <v>40706844</v>
      </c>
      <c r="N22" s="583">
        <f>SUM(N23:N26)</f>
        <v>42922897</v>
      </c>
      <c r="O22" s="332">
        <f t="shared" ref="O22:O28" si="16">N22/H22</f>
        <v>0.51324919205477393</v>
      </c>
      <c r="P22" s="329">
        <f>SUM(P23:P26)</f>
        <v>40706844</v>
      </c>
      <c r="Q22" s="329">
        <f>SUM(Q23:Q26)</f>
        <v>0</v>
      </c>
      <c r="R22" s="329">
        <f>SUM(R23:R26)</f>
        <v>0</v>
      </c>
    </row>
    <row r="23" spans="1:18" ht="15">
      <c r="A23" s="334">
        <v>202110301</v>
      </c>
      <c r="B23" s="351" t="s">
        <v>71</v>
      </c>
      <c r="C23" s="336">
        <v>16000083</v>
      </c>
      <c r="D23" s="337"/>
      <c r="E23" s="338"/>
      <c r="F23" s="339"/>
      <c r="G23" s="347"/>
      <c r="H23" s="341">
        <f>C23-D23+E23+F23-G23</f>
        <v>16000083</v>
      </c>
      <c r="I23" s="342">
        <f>AGOSTO!I23+AGOSTO!J23</f>
        <v>1440737</v>
      </c>
      <c r="J23" s="4"/>
      <c r="K23" s="343">
        <f t="shared" ref="K23:K36" si="17">L23/H23</f>
        <v>9.0045595388473926E-2</v>
      </c>
      <c r="L23" s="344">
        <f>J23+I23</f>
        <v>1440737</v>
      </c>
      <c r="M23" s="522">
        <f t="shared" si="14"/>
        <v>1440737</v>
      </c>
      <c r="N23" s="345">
        <f>H23-L23</f>
        <v>14559346</v>
      </c>
      <c r="O23" s="346">
        <f t="shared" si="16"/>
        <v>0.9099544046115261</v>
      </c>
      <c r="P23" s="567">
        <f t="shared" si="9"/>
        <v>1440737</v>
      </c>
      <c r="Q23" s="567">
        <f t="shared" si="12"/>
        <v>0</v>
      </c>
      <c r="R23" s="567">
        <f t="shared" si="13"/>
        <v>0</v>
      </c>
    </row>
    <row r="24" spans="1:18" ht="15">
      <c r="A24" s="334">
        <v>202110302</v>
      </c>
      <c r="B24" s="351" t="s">
        <v>73</v>
      </c>
      <c r="C24" s="336">
        <v>46429658</v>
      </c>
      <c r="D24" s="337"/>
      <c r="E24" s="338"/>
      <c r="F24" s="339"/>
      <c r="G24" s="347"/>
      <c r="H24" s="341">
        <f>C24-D24+E24+F24-G24</f>
        <v>46429658</v>
      </c>
      <c r="I24" s="342">
        <f>AGOSTO!I24+AGOSTO!J24</f>
        <v>27554831</v>
      </c>
      <c r="J24" s="4">
        <v>3735662</v>
      </c>
      <c r="K24" s="343">
        <f t="shared" si="17"/>
        <v>0.67393330788695449</v>
      </c>
      <c r="L24" s="344">
        <f>J24+I24</f>
        <v>31290493</v>
      </c>
      <c r="M24" s="522">
        <f t="shared" si="14"/>
        <v>31290493</v>
      </c>
      <c r="N24" s="345">
        <f>H24-L24</f>
        <v>15139165</v>
      </c>
      <c r="O24" s="346">
        <f t="shared" si="16"/>
        <v>0.32606669211304551</v>
      </c>
      <c r="P24" s="567">
        <f>L24</f>
        <v>31290493</v>
      </c>
      <c r="Q24" s="567">
        <f t="shared" si="12"/>
        <v>0</v>
      </c>
      <c r="R24" s="567">
        <f t="shared" si="13"/>
        <v>0</v>
      </c>
    </row>
    <row r="25" spans="1:18" ht="15">
      <c r="A25" s="334">
        <v>202110304</v>
      </c>
      <c r="B25" s="351" t="s">
        <v>74</v>
      </c>
      <c r="C25" s="336">
        <v>14000000</v>
      </c>
      <c r="D25" s="337"/>
      <c r="E25" s="338"/>
      <c r="F25" s="339"/>
      <c r="G25" s="347"/>
      <c r="H25" s="341">
        <f>C25-D25+E25+F25-G25</f>
        <v>14000000</v>
      </c>
      <c r="I25" s="342">
        <f>AGOSTO!I25+AGOSTO!J25</f>
        <v>7082106</v>
      </c>
      <c r="J25" s="4">
        <v>720619</v>
      </c>
      <c r="K25" s="343">
        <f t="shared" si="17"/>
        <v>0.55733750000000004</v>
      </c>
      <c r="L25" s="344">
        <f>J25+I25</f>
        <v>7802725</v>
      </c>
      <c r="M25" s="522">
        <f t="shared" si="14"/>
        <v>7802725</v>
      </c>
      <c r="N25" s="345">
        <f>H25-L25</f>
        <v>6197275</v>
      </c>
      <c r="O25" s="346">
        <f t="shared" si="16"/>
        <v>0.44266250000000001</v>
      </c>
      <c r="P25" s="567">
        <f>L25</f>
        <v>7802725</v>
      </c>
      <c r="Q25" s="567">
        <f t="shared" si="12"/>
        <v>0</v>
      </c>
      <c r="R25" s="567">
        <f t="shared" si="13"/>
        <v>0</v>
      </c>
    </row>
    <row r="26" spans="1:18" ht="15">
      <c r="A26" s="334">
        <v>202110305</v>
      </c>
      <c r="B26" s="351" t="s">
        <v>75</v>
      </c>
      <c r="C26" s="336">
        <v>7200000</v>
      </c>
      <c r="D26" s="362"/>
      <c r="E26" s="338"/>
      <c r="F26" s="339"/>
      <c r="G26" s="363"/>
      <c r="H26" s="341">
        <f>C26-D26+E26+F26-G26</f>
        <v>7200000</v>
      </c>
      <c r="I26" s="342">
        <f>AGOSTO!I26+AGOSTO!J26</f>
        <v>172889</v>
      </c>
      <c r="J26" s="341">
        <v>0</v>
      </c>
      <c r="K26" s="343">
        <f t="shared" si="17"/>
        <v>2.4012361111111113E-2</v>
      </c>
      <c r="L26" s="344">
        <f>J26+I26</f>
        <v>172889</v>
      </c>
      <c r="M26" s="522">
        <f t="shared" si="14"/>
        <v>172889</v>
      </c>
      <c r="N26" s="345">
        <f>H26-L26</f>
        <v>7027111</v>
      </c>
      <c r="O26" s="346">
        <f t="shared" si="16"/>
        <v>0.97598763888888884</v>
      </c>
      <c r="P26" s="567">
        <f t="shared" si="9"/>
        <v>172889</v>
      </c>
      <c r="Q26" s="567">
        <f t="shared" si="12"/>
        <v>0</v>
      </c>
      <c r="R26" s="567">
        <f t="shared" si="13"/>
        <v>0</v>
      </c>
    </row>
    <row r="27" spans="1:18" ht="15.75">
      <c r="A27" s="327">
        <v>2021104</v>
      </c>
      <c r="B27" s="364" t="s">
        <v>76</v>
      </c>
      <c r="C27" s="360">
        <f t="shared" ref="C27:J27" si="18">SUM(C28:C37)</f>
        <v>177100000</v>
      </c>
      <c r="D27" s="360">
        <f t="shared" si="18"/>
        <v>0</v>
      </c>
      <c r="E27" s="360">
        <f t="shared" si="18"/>
        <v>0</v>
      </c>
      <c r="F27" s="360">
        <f t="shared" si="18"/>
        <v>0</v>
      </c>
      <c r="G27" s="360">
        <f t="shared" si="18"/>
        <v>46000000</v>
      </c>
      <c r="H27" s="360">
        <f t="shared" si="18"/>
        <v>131100000</v>
      </c>
      <c r="I27" s="329">
        <f t="shared" si="18"/>
        <v>63067436</v>
      </c>
      <c r="J27" s="329">
        <f t="shared" si="18"/>
        <v>8941111</v>
      </c>
      <c r="K27" s="330">
        <f>L27/H27</f>
        <v>0.54926427917620135</v>
      </c>
      <c r="L27" s="331">
        <f>SUM(L28:L37)</f>
        <v>72008547</v>
      </c>
      <c r="M27" s="348">
        <f>SUM(M28:M37)</f>
        <v>72008547</v>
      </c>
      <c r="N27" s="348">
        <f>SUM(N28:N37)</f>
        <v>59091453</v>
      </c>
      <c r="O27" s="332">
        <f t="shared" si="16"/>
        <v>0.45073572082379865</v>
      </c>
      <c r="P27" s="329">
        <f>SUM(P28:P37)</f>
        <v>72008547</v>
      </c>
      <c r="Q27" s="329">
        <f>SUM(Q28:Q37)</f>
        <v>0</v>
      </c>
      <c r="R27" s="329">
        <f>SUM(R28:R43)</f>
        <v>0</v>
      </c>
    </row>
    <row r="28" spans="1:18" ht="15">
      <c r="A28" s="365">
        <v>202110401</v>
      </c>
      <c r="B28" s="351" t="s">
        <v>78</v>
      </c>
      <c r="C28" s="336">
        <v>56000000</v>
      </c>
      <c r="D28" s="337"/>
      <c r="E28" s="338"/>
      <c r="F28" s="339"/>
      <c r="G28" s="347">
        <v>46000000</v>
      </c>
      <c r="H28" s="341">
        <f t="shared" ref="H28:H37" si="19">C28-D28+E28+F28-G28</f>
        <v>10000000</v>
      </c>
      <c r="I28" s="342">
        <v>102050</v>
      </c>
      <c r="J28" s="2">
        <v>0</v>
      </c>
      <c r="K28" s="343">
        <f t="shared" si="17"/>
        <v>1.0205000000000001E-2</v>
      </c>
      <c r="L28" s="344">
        <f t="shared" ref="L28:L37" si="20">J28+I28</f>
        <v>102050</v>
      </c>
      <c r="M28" s="522">
        <f t="shared" si="14"/>
        <v>102050</v>
      </c>
      <c r="N28" s="345">
        <f t="shared" ref="N28:N37" si="21">H28-L28</f>
        <v>9897950</v>
      </c>
      <c r="O28" s="346">
        <f t="shared" si="16"/>
        <v>0.98979499999999998</v>
      </c>
      <c r="P28" s="344">
        <f>L28</f>
        <v>102050</v>
      </c>
      <c r="Q28" s="567">
        <f>M28-P28</f>
        <v>0</v>
      </c>
      <c r="R28" s="567">
        <f>L28-M28</f>
        <v>0</v>
      </c>
    </row>
    <row r="29" spans="1:18" ht="15">
      <c r="A29" s="334">
        <v>202110402</v>
      </c>
      <c r="B29" s="351" t="s">
        <v>73</v>
      </c>
      <c r="C29" s="336">
        <v>0</v>
      </c>
      <c r="D29" s="337"/>
      <c r="E29" s="338"/>
      <c r="F29" s="339"/>
      <c r="G29" s="347"/>
      <c r="H29" s="341">
        <f t="shared" si="19"/>
        <v>0</v>
      </c>
      <c r="I29" s="342">
        <v>0</v>
      </c>
      <c r="J29" s="342"/>
      <c r="K29" s="343">
        <v>0</v>
      </c>
      <c r="L29" s="353">
        <f t="shared" si="20"/>
        <v>0</v>
      </c>
      <c r="M29" s="522">
        <f t="shared" si="14"/>
        <v>0</v>
      </c>
      <c r="N29" s="345">
        <f t="shared" si="21"/>
        <v>0</v>
      </c>
      <c r="O29" s="346">
        <v>0</v>
      </c>
      <c r="P29" s="344">
        <f t="shared" ref="P29:P37" si="22">L29</f>
        <v>0</v>
      </c>
      <c r="Q29" s="567">
        <f t="shared" ref="Q29:Q37" si="23">M29-P29</f>
        <v>0</v>
      </c>
      <c r="R29" s="567">
        <f t="shared" si="13"/>
        <v>0</v>
      </c>
    </row>
    <row r="30" spans="1:18" ht="15">
      <c r="A30" s="334">
        <v>202110403</v>
      </c>
      <c r="B30" s="351" t="s">
        <v>81</v>
      </c>
      <c r="C30" s="336">
        <v>3900000</v>
      </c>
      <c r="D30" s="337"/>
      <c r="E30" s="338"/>
      <c r="F30" s="339"/>
      <c r="G30" s="347"/>
      <c r="H30" s="341">
        <f t="shared" si="19"/>
        <v>3900000</v>
      </c>
      <c r="I30" s="342">
        <v>1687400</v>
      </c>
      <c r="J30" s="4">
        <v>229300</v>
      </c>
      <c r="K30" s="343">
        <f t="shared" si="17"/>
        <v>0.49146153846153845</v>
      </c>
      <c r="L30" s="344">
        <f t="shared" si="20"/>
        <v>1916700</v>
      </c>
      <c r="M30" s="522">
        <f t="shared" si="14"/>
        <v>1916700</v>
      </c>
      <c r="N30" s="345">
        <f t="shared" si="21"/>
        <v>1983300</v>
      </c>
      <c r="O30" s="346">
        <f t="shared" ref="O30:O36" si="24">N30/H30</f>
        <v>0.50853846153846149</v>
      </c>
      <c r="P30" s="344">
        <f t="shared" si="22"/>
        <v>1916700</v>
      </c>
      <c r="Q30" s="567">
        <f t="shared" si="23"/>
        <v>0</v>
      </c>
      <c r="R30" s="567">
        <f t="shared" si="13"/>
        <v>0</v>
      </c>
    </row>
    <row r="31" spans="1:18" ht="15">
      <c r="A31" s="334">
        <v>202110404</v>
      </c>
      <c r="B31" s="351" t="s">
        <v>74</v>
      </c>
      <c r="C31" s="336">
        <v>52000000</v>
      </c>
      <c r="D31" s="337"/>
      <c r="E31" s="338"/>
      <c r="F31" s="339"/>
      <c r="G31" s="347"/>
      <c r="H31" s="341">
        <f t="shared" si="19"/>
        <v>52000000</v>
      </c>
      <c r="I31" s="342">
        <v>31906086</v>
      </c>
      <c r="J31" s="366">
        <v>4452811</v>
      </c>
      <c r="K31" s="343">
        <f t="shared" si="17"/>
        <v>0.69920955769230764</v>
      </c>
      <c r="L31" s="344">
        <f t="shared" si="20"/>
        <v>36358897</v>
      </c>
      <c r="M31" s="522">
        <f t="shared" si="14"/>
        <v>36358897</v>
      </c>
      <c r="N31" s="345">
        <f t="shared" si="21"/>
        <v>15641103</v>
      </c>
      <c r="O31" s="346">
        <f t="shared" si="24"/>
        <v>0.30079044230769231</v>
      </c>
      <c r="P31" s="344">
        <f t="shared" si="22"/>
        <v>36358897</v>
      </c>
      <c r="Q31" s="567">
        <f t="shared" si="23"/>
        <v>0</v>
      </c>
      <c r="R31" s="567">
        <f t="shared" si="13"/>
        <v>0</v>
      </c>
    </row>
    <row r="32" spans="1:18" ht="15">
      <c r="A32" s="334">
        <v>202110405</v>
      </c>
      <c r="B32" s="351" t="s">
        <v>84</v>
      </c>
      <c r="C32" s="336">
        <v>27000000</v>
      </c>
      <c r="D32" s="337"/>
      <c r="E32" s="338"/>
      <c r="F32" s="339"/>
      <c r="G32" s="347"/>
      <c r="H32" s="341">
        <f t="shared" si="19"/>
        <v>27000000</v>
      </c>
      <c r="I32" s="342">
        <v>13050000</v>
      </c>
      <c r="J32" s="4">
        <v>1892500</v>
      </c>
      <c r="K32" s="343">
        <f t="shared" si="17"/>
        <v>0.55342592592592588</v>
      </c>
      <c r="L32" s="344">
        <f t="shared" si="20"/>
        <v>14942500</v>
      </c>
      <c r="M32" s="522">
        <f t="shared" si="14"/>
        <v>14942500</v>
      </c>
      <c r="N32" s="345">
        <f t="shared" si="21"/>
        <v>12057500</v>
      </c>
      <c r="O32" s="346">
        <f t="shared" si="24"/>
        <v>0.44657407407407407</v>
      </c>
      <c r="P32" s="344">
        <f t="shared" si="22"/>
        <v>14942500</v>
      </c>
      <c r="Q32" s="567">
        <f t="shared" si="23"/>
        <v>0</v>
      </c>
      <c r="R32" s="567">
        <f t="shared" si="13"/>
        <v>0</v>
      </c>
    </row>
    <row r="33" spans="1:18" ht="15">
      <c r="A33" s="334">
        <v>202110406</v>
      </c>
      <c r="B33" s="351" t="s">
        <v>86</v>
      </c>
      <c r="C33" s="336">
        <v>23000000</v>
      </c>
      <c r="D33" s="337"/>
      <c r="E33" s="338"/>
      <c r="F33" s="339"/>
      <c r="G33" s="347"/>
      <c r="H33" s="341">
        <f t="shared" si="19"/>
        <v>23000000</v>
      </c>
      <c r="I33" s="342">
        <v>9787000</v>
      </c>
      <c r="J33" s="4">
        <v>1419300</v>
      </c>
      <c r="K33" s="343">
        <f t="shared" si="17"/>
        <v>0.48723043478260869</v>
      </c>
      <c r="L33" s="344">
        <f t="shared" si="20"/>
        <v>11206300</v>
      </c>
      <c r="M33" s="522">
        <f t="shared" si="14"/>
        <v>11206300</v>
      </c>
      <c r="N33" s="345">
        <f t="shared" si="21"/>
        <v>11793700</v>
      </c>
      <c r="O33" s="346">
        <f t="shared" si="24"/>
        <v>0.51276956521739125</v>
      </c>
      <c r="P33" s="344">
        <f t="shared" si="22"/>
        <v>11206300</v>
      </c>
      <c r="Q33" s="567">
        <f t="shared" si="23"/>
        <v>0</v>
      </c>
      <c r="R33" s="567">
        <f t="shared" si="13"/>
        <v>0</v>
      </c>
    </row>
    <row r="34" spans="1:18" ht="15">
      <c r="A34" s="334">
        <v>202110407</v>
      </c>
      <c r="B34" s="351" t="s">
        <v>88</v>
      </c>
      <c r="C34" s="336">
        <v>4000000</v>
      </c>
      <c r="D34" s="337"/>
      <c r="E34" s="338"/>
      <c r="F34" s="339"/>
      <c r="G34" s="347"/>
      <c r="H34" s="341">
        <f t="shared" si="19"/>
        <v>4000000</v>
      </c>
      <c r="I34" s="342">
        <v>1635000</v>
      </c>
      <c r="J34" s="4">
        <v>236900</v>
      </c>
      <c r="K34" s="343">
        <f t="shared" si="17"/>
        <v>0.46797499999999997</v>
      </c>
      <c r="L34" s="344">
        <f t="shared" si="20"/>
        <v>1871900</v>
      </c>
      <c r="M34" s="522">
        <f t="shared" si="14"/>
        <v>1871900</v>
      </c>
      <c r="N34" s="345">
        <f t="shared" si="21"/>
        <v>2128100</v>
      </c>
      <c r="O34" s="346">
        <f t="shared" si="24"/>
        <v>0.53202499999999997</v>
      </c>
      <c r="P34" s="344">
        <f t="shared" si="22"/>
        <v>1871900</v>
      </c>
      <c r="Q34" s="567">
        <f t="shared" si="23"/>
        <v>0</v>
      </c>
      <c r="R34" s="567">
        <f t="shared" si="13"/>
        <v>0</v>
      </c>
    </row>
    <row r="35" spans="1:18" ht="15">
      <c r="A35" s="334">
        <v>202110408</v>
      </c>
      <c r="B35" s="351" t="s">
        <v>90</v>
      </c>
      <c r="C35" s="336">
        <v>4000000</v>
      </c>
      <c r="D35" s="337"/>
      <c r="E35" s="338"/>
      <c r="F35" s="339"/>
      <c r="G35" s="347"/>
      <c r="H35" s="341">
        <f t="shared" si="19"/>
        <v>4000000</v>
      </c>
      <c r="I35" s="342">
        <v>1635000</v>
      </c>
      <c r="J35" s="4">
        <v>236900</v>
      </c>
      <c r="K35" s="343">
        <f t="shared" si="17"/>
        <v>0.46797499999999997</v>
      </c>
      <c r="L35" s="344">
        <f t="shared" si="20"/>
        <v>1871900</v>
      </c>
      <c r="M35" s="522">
        <f t="shared" si="14"/>
        <v>1871900</v>
      </c>
      <c r="N35" s="345">
        <f t="shared" si="21"/>
        <v>2128100</v>
      </c>
      <c r="O35" s="346">
        <f t="shared" si="24"/>
        <v>0.53202499999999997</v>
      </c>
      <c r="P35" s="344">
        <f t="shared" si="22"/>
        <v>1871900</v>
      </c>
      <c r="Q35" s="567">
        <f t="shared" si="23"/>
        <v>0</v>
      </c>
      <c r="R35" s="567">
        <f t="shared" si="13"/>
        <v>0</v>
      </c>
    </row>
    <row r="36" spans="1:18" ht="15">
      <c r="A36" s="334">
        <v>202110409</v>
      </c>
      <c r="B36" s="351" t="s">
        <v>92</v>
      </c>
      <c r="C36" s="336">
        <v>7200000</v>
      </c>
      <c r="D36" s="337"/>
      <c r="E36" s="338"/>
      <c r="F36" s="339"/>
      <c r="G36" s="347"/>
      <c r="H36" s="341">
        <f t="shared" si="19"/>
        <v>7200000</v>
      </c>
      <c r="I36" s="342">
        <v>3264900</v>
      </c>
      <c r="J36" s="4">
        <v>473400</v>
      </c>
      <c r="K36" s="343">
        <f t="shared" si="17"/>
        <v>0.51920833333333338</v>
      </c>
      <c r="L36" s="344">
        <f t="shared" si="20"/>
        <v>3738300</v>
      </c>
      <c r="M36" s="522">
        <f t="shared" si="14"/>
        <v>3738300</v>
      </c>
      <c r="N36" s="345">
        <f t="shared" si="21"/>
        <v>3461700</v>
      </c>
      <c r="O36" s="346">
        <f t="shared" si="24"/>
        <v>0.48079166666666667</v>
      </c>
      <c r="P36" s="344">
        <f t="shared" si="22"/>
        <v>3738300</v>
      </c>
      <c r="Q36" s="567">
        <f t="shared" si="23"/>
        <v>0</v>
      </c>
      <c r="R36" s="567">
        <f t="shared" si="13"/>
        <v>0</v>
      </c>
    </row>
    <row r="37" spans="1:18" ht="15">
      <c r="A37" s="334">
        <v>202110410</v>
      </c>
      <c r="B37" s="351" t="s">
        <v>94</v>
      </c>
      <c r="C37" s="336">
        <v>0</v>
      </c>
      <c r="D37" s="342"/>
      <c r="E37" s="338"/>
      <c r="F37" s="339"/>
      <c r="G37" s="347"/>
      <c r="H37" s="341">
        <f t="shared" si="19"/>
        <v>0</v>
      </c>
      <c r="I37" s="342">
        <v>0</v>
      </c>
      <c r="J37" s="342"/>
      <c r="K37" s="343">
        <v>0</v>
      </c>
      <c r="L37" s="353">
        <f t="shared" si="20"/>
        <v>0</v>
      </c>
      <c r="M37" s="522">
        <f t="shared" si="14"/>
        <v>0</v>
      </c>
      <c r="N37" s="345">
        <f t="shared" si="21"/>
        <v>0</v>
      </c>
      <c r="O37" s="346">
        <v>0</v>
      </c>
      <c r="P37" s="344">
        <f t="shared" si="22"/>
        <v>0</v>
      </c>
      <c r="Q37" s="567">
        <f t="shared" si="23"/>
        <v>0</v>
      </c>
      <c r="R37" s="567">
        <f t="shared" si="13"/>
        <v>0</v>
      </c>
    </row>
    <row r="38" spans="1:18" s="349" customFormat="1" ht="27.75" customHeight="1">
      <c r="A38" s="327">
        <v>2021201</v>
      </c>
      <c r="B38" s="352" t="s">
        <v>31</v>
      </c>
      <c r="C38" s="329">
        <f t="shared" ref="C38:J38" si="25">SUM(C39:C42)</f>
        <v>21300000</v>
      </c>
      <c r="D38" s="329">
        <f t="shared" si="25"/>
        <v>0</v>
      </c>
      <c r="E38" s="329">
        <f t="shared" si="25"/>
        <v>0</v>
      </c>
      <c r="F38" s="329">
        <f t="shared" si="25"/>
        <v>16000000</v>
      </c>
      <c r="G38" s="329">
        <f t="shared" si="25"/>
        <v>0</v>
      </c>
      <c r="H38" s="329">
        <f t="shared" si="25"/>
        <v>37300000</v>
      </c>
      <c r="I38" s="329">
        <f t="shared" si="25"/>
        <v>25310300</v>
      </c>
      <c r="J38" s="329">
        <f t="shared" si="25"/>
        <v>0</v>
      </c>
      <c r="K38" s="330">
        <f>L38/H38</f>
        <v>0.6785603217158177</v>
      </c>
      <c r="L38" s="348">
        <f>SUM(L39:L42)</f>
        <v>25310300</v>
      </c>
      <c r="M38" s="348">
        <f>SUM(M39:M42)</f>
        <v>25310300</v>
      </c>
      <c r="N38" s="329">
        <f>SUM(N39:N42)</f>
        <v>11989700</v>
      </c>
      <c r="O38" s="332">
        <f>N38/H38</f>
        <v>0.3214396782841823</v>
      </c>
      <c r="P38" s="329">
        <f>SUM(P39:P42)</f>
        <v>14864100</v>
      </c>
      <c r="Q38" s="329">
        <f>SUM(Q39:Q42)</f>
        <v>10446200</v>
      </c>
      <c r="R38" s="329">
        <f t="shared" si="13"/>
        <v>0</v>
      </c>
    </row>
    <row r="39" spans="1:18" ht="15">
      <c r="A39" s="334">
        <v>202120101</v>
      </c>
      <c r="B39" s="351" t="s">
        <v>33</v>
      </c>
      <c r="C39" s="336">
        <v>6000000</v>
      </c>
      <c r="D39" s="342"/>
      <c r="E39" s="338"/>
      <c r="F39" s="339"/>
      <c r="G39" s="347"/>
      <c r="H39" s="341">
        <f>C39-D39+E39+F39-G39</f>
        <v>6000000</v>
      </c>
      <c r="I39" s="342">
        <v>3600000</v>
      </c>
      <c r="J39" s="2">
        <v>0</v>
      </c>
      <c r="K39" s="343">
        <v>0</v>
      </c>
      <c r="L39" s="344">
        <f t="shared" si="10"/>
        <v>3600000</v>
      </c>
      <c r="M39" s="522">
        <f t="shared" si="14"/>
        <v>3600000</v>
      </c>
      <c r="N39" s="345">
        <f t="shared" si="3"/>
        <v>2400000</v>
      </c>
      <c r="O39" s="346">
        <v>0</v>
      </c>
      <c r="P39" s="344">
        <f>L39</f>
        <v>3600000</v>
      </c>
      <c r="Q39" s="567">
        <f>M39-P39</f>
        <v>0</v>
      </c>
      <c r="R39" s="567">
        <f t="shared" si="13"/>
        <v>0</v>
      </c>
    </row>
    <row r="40" spans="1:18" ht="15">
      <c r="A40" s="334">
        <v>202120102</v>
      </c>
      <c r="B40" s="354" t="s">
        <v>35</v>
      </c>
      <c r="C40" s="336">
        <v>14000000</v>
      </c>
      <c r="D40" s="342"/>
      <c r="E40" s="338"/>
      <c r="F40" s="339">
        <v>16000000</v>
      </c>
      <c r="G40" s="347"/>
      <c r="H40" s="341">
        <f>C40-D40+E40+F40-G40</f>
        <v>30000000</v>
      </c>
      <c r="I40" s="342">
        <v>21710300</v>
      </c>
      <c r="J40" s="342">
        <v>0</v>
      </c>
      <c r="K40" s="343">
        <f>L40/H40</f>
        <v>0.72367666666666663</v>
      </c>
      <c r="L40" s="344">
        <f t="shared" si="10"/>
        <v>21710300</v>
      </c>
      <c r="M40" s="522">
        <f t="shared" si="14"/>
        <v>21710300</v>
      </c>
      <c r="N40" s="345">
        <f t="shared" si="3"/>
        <v>8289700</v>
      </c>
      <c r="O40" s="355">
        <f>N40/H40</f>
        <v>0.27632333333333331</v>
      </c>
      <c r="P40" s="344">
        <f>L40-10446200</f>
        <v>11264100</v>
      </c>
      <c r="Q40" s="567">
        <f t="shared" ref="Q40:Q61" si="26">M40-P40</f>
        <v>10446200</v>
      </c>
      <c r="R40" s="567">
        <f t="shared" si="13"/>
        <v>0</v>
      </c>
    </row>
    <row r="41" spans="1:18" ht="15">
      <c r="A41" s="334">
        <v>202120104</v>
      </c>
      <c r="B41" s="351" t="s">
        <v>37</v>
      </c>
      <c r="C41" s="336">
        <v>1300000</v>
      </c>
      <c r="D41" s="342"/>
      <c r="E41" s="338"/>
      <c r="F41" s="339"/>
      <c r="G41" s="356"/>
      <c r="H41" s="341">
        <f>C41-D41+E41+F41-G41</f>
        <v>1300000</v>
      </c>
      <c r="I41" s="342">
        <v>0</v>
      </c>
      <c r="J41" s="342">
        <v>0</v>
      </c>
      <c r="K41" s="343">
        <f>L41/H41</f>
        <v>0</v>
      </c>
      <c r="L41" s="344">
        <f t="shared" si="10"/>
        <v>0</v>
      </c>
      <c r="M41" s="522">
        <f t="shared" si="14"/>
        <v>0</v>
      </c>
      <c r="N41" s="345">
        <f t="shared" si="3"/>
        <v>1300000</v>
      </c>
      <c r="O41" s="355">
        <f>N41/H41</f>
        <v>1</v>
      </c>
      <c r="P41" s="344">
        <v>0</v>
      </c>
      <c r="Q41" s="567">
        <f t="shared" si="26"/>
        <v>0</v>
      </c>
      <c r="R41" s="567">
        <f t="shared" si="13"/>
        <v>0</v>
      </c>
    </row>
    <row r="42" spans="1:18" ht="15">
      <c r="A42" s="334">
        <v>202120105</v>
      </c>
      <c r="B42" s="351" t="s">
        <v>39</v>
      </c>
      <c r="C42" s="336">
        <v>0</v>
      </c>
      <c r="D42" s="342"/>
      <c r="E42" s="338"/>
      <c r="F42" s="339"/>
      <c r="G42" s="347"/>
      <c r="H42" s="341">
        <f>C42-D42+E42+F42-G42</f>
        <v>0</v>
      </c>
      <c r="I42" s="342">
        <v>0</v>
      </c>
      <c r="J42" s="342">
        <v>0</v>
      </c>
      <c r="K42" s="343">
        <v>0</v>
      </c>
      <c r="L42" s="353">
        <f t="shared" si="10"/>
        <v>0</v>
      </c>
      <c r="M42" s="522">
        <f t="shared" si="14"/>
        <v>0</v>
      </c>
      <c r="N42" s="345">
        <f t="shared" si="3"/>
        <v>0</v>
      </c>
      <c r="O42" s="355">
        <v>0</v>
      </c>
      <c r="P42" s="344">
        <f>L42</f>
        <v>0</v>
      </c>
      <c r="Q42" s="567">
        <f t="shared" si="26"/>
        <v>0</v>
      </c>
      <c r="R42" s="567">
        <f t="shared" si="13"/>
        <v>0</v>
      </c>
    </row>
    <row r="43" spans="1:18" s="349" customFormat="1" ht="27.75" customHeight="1">
      <c r="A43" s="327">
        <v>2021202</v>
      </c>
      <c r="B43" s="352" t="s">
        <v>41</v>
      </c>
      <c r="C43" s="329">
        <f t="shared" ref="C43:J43" si="27">SUM(C44:C59)</f>
        <v>127719000</v>
      </c>
      <c r="D43" s="329">
        <f t="shared" si="27"/>
        <v>0</v>
      </c>
      <c r="E43" s="329">
        <f t="shared" si="27"/>
        <v>0</v>
      </c>
      <c r="F43" s="329">
        <f t="shared" si="27"/>
        <v>13500000</v>
      </c>
      <c r="G43" s="329">
        <f t="shared" si="27"/>
        <v>0</v>
      </c>
      <c r="H43" s="329">
        <f t="shared" si="27"/>
        <v>141219000</v>
      </c>
      <c r="I43" s="329">
        <f t="shared" si="27"/>
        <v>45530039</v>
      </c>
      <c r="J43" s="329">
        <f t="shared" si="27"/>
        <v>6552633</v>
      </c>
      <c r="K43" s="330">
        <f t="shared" ref="K43:K50" si="28">L43/H43</f>
        <v>0.36880782330989453</v>
      </c>
      <c r="L43" s="331">
        <f>SUM(L44:L59)</f>
        <v>52082672</v>
      </c>
      <c r="M43" s="331">
        <f>SUM(M44:M59)</f>
        <v>52082672</v>
      </c>
      <c r="N43" s="348">
        <f>SUM(N44:N59)</f>
        <v>89136328</v>
      </c>
      <c r="O43" s="332">
        <f t="shared" ref="O43:O48" si="29">N43/H43</f>
        <v>0.63119217669010541</v>
      </c>
      <c r="P43" s="348">
        <f>SUM(P44:P59)</f>
        <v>52082672</v>
      </c>
      <c r="Q43" s="348">
        <f>SUM(Q44:Q59)</f>
        <v>0</v>
      </c>
      <c r="R43" s="348">
        <f t="shared" si="13"/>
        <v>0</v>
      </c>
    </row>
    <row r="44" spans="1:18" ht="15.75">
      <c r="A44" s="334">
        <v>202120201</v>
      </c>
      <c r="B44" s="351" t="s">
        <v>43</v>
      </c>
      <c r="C44" s="336">
        <v>9000000</v>
      </c>
      <c r="D44" s="342"/>
      <c r="E44" s="338"/>
      <c r="F44" s="339">
        <v>10000000</v>
      </c>
      <c r="G44" s="347"/>
      <c r="H44" s="341">
        <f t="shared" ref="H44:H58" si="30">C44-D44+E44+F44-G44</f>
        <v>19000000</v>
      </c>
      <c r="I44" s="342">
        <v>8695500</v>
      </c>
      <c r="J44" s="342">
        <v>0</v>
      </c>
      <c r="K44" s="343">
        <f t="shared" si="28"/>
        <v>0.4576578947368421</v>
      </c>
      <c r="L44" s="344">
        <f t="shared" si="10"/>
        <v>8695500</v>
      </c>
      <c r="M44" s="584">
        <f t="shared" si="14"/>
        <v>8695500</v>
      </c>
      <c r="N44" s="580">
        <f t="shared" si="3"/>
        <v>10304500</v>
      </c>
      <c r="O44" s="581">
        <f t="shared" si="29"/>
        <v>0.54234210526315785</v>
      </c>
      <c r="P44" s="344">
        <f>L44</f>
        <v>8695500</v>
      </c>
      <c r="Q44" s="567">
        <f t="shared" si="26"/>
        <v>0</v>
      </c>
      <c r="R44" s="582">
        <f>SUM(R45:R48)</f>
        <v>0</v>
      </c>
    </row>
    <row r="45" spans="1:18" ht="15">
      <c r="A45" s="334">
        <v>202120202</v>
      </c>
      <c r="B45" s="351" t="s">
        <v>44</v>
      </c>
      <c r="C45" s="336">
        <v>52500000</v>
      </c>
      <c r="D45" s="342"/>
      <c r="E45" s="338"/>
      <c r="F45" s="339"/>
      <c r="G45" s="347"/>
      <c r="H45" s="341">
        <f t="shared" si="30"/>
        <v>52500000</v>
      </c>
      <c r="I45" s="342">
        <v>21541620</v>
      </c>
      <c r="J45" s="342">
        <v>3998305</v>
      </c>
      <c r="K45" s="343">
        <f t="shared" si="28"/>
        <v>0.48647476190476191</v>
      </c>
      <c r="L45" s="344">
        <f t="shared" si="10"/>
        <v>25539925</v>
      </c>
      <c r="M45" s="522">
        <f t="shared" si="14"/>
        <v>25539925</v>
      </c>
      <c r="N45" s="345">
        <f t="shared" si="3"/>
        <v>26960075</v>
      </c>
      <c r="O45" s="355">
        <f t="shared" si="29"/>
        <v>0.51352523809523809</v>
      </c>
      <c r="P45" s="344">
        <f t="shared" ref="P45:P61" si="31">L45</f>
        <v>25539925</v>
      </c>
      <c r="Q45" s="567">
        <f t="shared" si="26"/>
        <v>0</v>
      </c>
      <c r="R45" s="567">
        <f t="shared" si="13"/>
        <v>0</v>
      </c>
    </row>
    <row r="46" spans="1:18" ht="15">
      <c r="A46" s="334">
        <v>202120203</v>
      </c>
      <c r="B46" s="351" t="s">
        <v>46</v>
      </c>
      <c r="C46" s="336">
        <v>2000000</v>
      </c>
      <c r="D46" s="342"/>
      <c r="E46" s="338"/>
      <c r="F46" s="339"/>
      <c r="G46" s="347"/>
      <c r="H46" s="341">
        <f t="shared" si="30"/>
        <v>2000000</v>
      </c>
      <c r="I46" s="342">
        <v>915600</v>
      </c>
      <c r="J46" s="4">
        <v>0</v>
      </c>
      <c r="K46" s="343">
        <f t="shared" si="28"/>
        <v>0.45779999999999998</v>
      </c>
      <c r="L46" s="344">
        <f t="shared" si="10"/>
        <v>915600</v>
      </c>
      <c r="M46" s="522">
        <f t="shared" si="14"/>
        <v>915600</v>
      </c>
      <c r="N46" s="345">
        <f t="shared" si="3"/>
        <v>1084400</v>
      </c>
      <c r="O46" s="355">
        <f t="shared" si="29"/>
        <v>0.54220000000000002</v>
      </c>
      <c r="P46" s="344">
        <f t="shared" si="31"/>
        <v>915600</v>
      </c>
      <c r="Q46" s="567">
        <f t="shared" si="26"/>
        <v>0</v>
      </c>
      <c r="R46" s="567">
        <f t="shared" si="13"/>
        <v>0</v>
      </c>
    </row>
    <row r="47" spans="1:18" ht="15">
      <c r="A47" s="334">
        <v>202120204</v>
      </c>
      <c r="B47" s="351" t="s">
        <v>48</v>
      </c>
      <c r="C47" s="336">
        <v>11619000</v>
      </c>
      <c r="D47" s="342"/>
      <c r="E47" s="338"/>
      <c r="F47" s="339"/>
      <c r="G47" s="347"/>
      <c r="H47" s="341">
        <f t="shared" si="30"/>
        <v>11619000</v>
      </c>
      <c r="I47" s="342">
        <v>5839500</v>
      </c>
      <c r="J47" s="4">
        <v>695600</v>
      </c>
      <c r="K47" s="343">
        <f t="shared" si="28"/>
        <v>0.56244943626818145</v>
      </c>
      <c r="L47" s="344">
        <f t="shared" si="10"/>
        <v>6535100</v>
      </c>
      <c r="M47" s="522">
        <f t="shared" si="14"/>
        <v>6535100</v>
      </c>
      <c r="N47" s="345">
        <f t="shared" si="3"/>
        <v>5083900</v>
      </c>
      <c r="O47" s="346">
        <f t="shared" si="29"/>
        <v>0.43755056373181855</v>
      </c>
      <c r="P47" s="344">
        <f t="shared" si="31"/>
        <v>6535100</v>
      </c>
      <c r="Q47" s="567">
        <f t="shared" si="26"/>
        <v>0</v>
      </c>
      <c r="R47" s="567">
        <f t="shared" si="13"/>
        <v>0</v>
      </c>
    </row>
    <row r="48" spans="1:18" ht="15">
      <c r="A48" s="334">
        <v>202120205</v>
      </c>
      <c r="B48" s="351" t="s">
        <v>50</v>
      </c>
      <c r="C48" s="336">
        <v>8000000</v>
      </c>
      <c r="D48" s="342"/>
      <c r="E48" s="338"/>
      <c r="F48" s="339"/>
      <c r="G48" s="347"/>
      <c r="H48" s="341">
        <f t="shared" si="30"/>
        <v>8000000</v>
      </c>
      <c r="I48" s="342">
        <v>2569856</v>
      </c>
      <c r="J48" s="4">
        <v>342238</v>
      </c>
      <c r="K48" s="343">
        <f t="shared" si="28"/>
        <v>0.36401175000000002</v>
      </c>
      <c r="L48" s="344">
        <f t="shared" si="10"/>
        <v>2912094</v>
      </c>
      <c r="M48" s="522">
        <f t="shared" si="14"/>
        <v>2912094</v>
      </c>
      <c r="N48" s="345">
        <f t="shared" si="3"/>
        <v>5087906</v>
      </c>
      <c r="O48" s="346">
        <f t="shared" si="29"/>
        <v>0.63598825000000003</v>
      </c>
      <c r="P48" s="344">
        <f t="shared" si="31"/>
        <v>2912094</v>
      </c>
      <c r="Q48" s="567">
        <f t="shared" si="26"/>
        <v>0</v>
      </c>
      <c r="R48" s="567">
        <f t="shared" si="13"/>
        <v>0</v>
      </c>
    </row>
    <row r="49" spans="1:18" ht="15.75">
      <c r="A49" s="334">
        <v>202120206</v>
      </c>
      <c r="B49" s="351" t="s">
        <v>52</v>
      </c>
      <c r="C49" s="336">
        <v>2500000</v>
      </c>
      <c r="D49" s="342"/>
      <c r="E49" s="338"/>
      <c r="F49" s="339"/>
      <c r="G49" s="347"/>
      <c r="H49" s="341">
        <f t="shared" si="30"/>
        <v>2500000</v>
      </c>
      <c r="I49" s="342">
        <v>656430</v>
      </c>
      <c r="J49" s="2">
        <v>207490</v>
      </c>
      <c r="K49" s="343">
        <f t="shared" si="28"/>
        <v>0.34556799999999999</v>
      </c>
      <c r="L49" s="344">
        <f t="shared" si="10"/>
        <v>863920</v>
      </c>
      <c r="M49" s="584">
        <f t="shared" si="14"/>
        <v>863920</v>
      </c>
      <c r="N49" s="345">
        <f t="shared" si="3"/>
        <v>1636080</v>
      </c>
      <c r="O49" s="346">
        <v>0</v>
      </c>
      <c r="P49" s="344">
        <f t="shared" si="31"/>
        <v>863920</v>
      </c>
      <c r="Q49" s="567">
        <f t="shared" si="26"/>
        <v>0</v>
      </c>
      <c r="R49" s="579">
        <f>SUM(R50:R59)</f>
        <v>0</v>
      </c>
    </row>
    <row r="50" spans="1:18" ht="15">
      <c r="A50" s="334">
        <v>202120207</v>
      </c>
      <c r="B50" s="354" t="s">
        <v>54</v>
      </c>
      <c r="C50" s="336">
        <v>1500000</v>
      </c>
      <c r="D50" s="342"/>
      <c r="E50" s="338"/>
      <c r="F50" s="339"/>
      <c r="G50" s="347"/>
      <c r="H50" s="341">
        <f t="shared" si="30"/>
        <v>1500000</v>
      </c>
      <c r="I50" s="342">
        <v>200000</v>
      </c>
      <c r="J50" s="342">
        <v>0</v>
      </c>
      <c r="K50" s="343">
        <f t="shared" si="28"/>
        <v>0.13333333333333333</v>
      </c>
      <c r="L50" s="344">
        <f t="shared" si="10"/>
        <v>200000</v>
      </c>
      <c r="M50" s="522">
        <f t="shared" si="14"/>
        <v>200000</v>
      </c>
      <c r="N50" s="345">
        <f t="shared" si="3"/>
        <v>1300000</v>
      </c>
      <c r="O50" s="346">
        <f>N50/H50</f>
        <v>0.8666666666666667</v>
      </c>
      <c r="P50" s="344">
        <f t="shared" si="31"/>
        <v>200000</v>
      </c>
      <c r="Q50" s="567">
        <f t="shared" si="26"/>
        <v>0</v>
      </c>
      <c r="R50" s="567">
        <f t="shared" si="13"/>
        <v>0</v>
      </c>
    </row>
    <row r="51" spans="1:18" ht="15">
      <c r="A51" s="334">
        <v>202120208</v>
      </c>
      <c r="B51" s="351" t="s">
        <v>56</v>
      </c>
      <c r="C51" s="336">
        <v>0</v>
      </c>
      <c r="D51" s="342"/>
      <c r="E51" s="338"/>
      <c r="F51" s="357"/>
      <c r="G51" s="347"/>
      <c r="H51" s="341">
        <f t="shared" si="30"/>
        <v>0</v>
      </c>
      <c r="I51" s="342">
        <v>0</v>
      </c>
      <c r="J51" s="342">
        <v>0</v>
      </c>
      <c r="K51" s="343">
        <v>0</v>
      </c>
      <c r="L51" s="344">
        <f t="shared" si="10"/>
        <v>0</v>
      </c>
      <c r="M51" s="522">
        <f t="shared" si="14"/>
        <v>0</v>
      </c>
      <c r="N51" s="345">
        <f t="shared" si="3"/>
        <v>0</v>
      </c>
      <c r="O51" s="346">
        <v>0</v>
      </c>
      <c r="P51" s="344">
        <f t="shared" si="31"/>
        <v>0</v>
      </c>
      <c r="Q51" s="567">
        <f t="shared" si="26"/>
        <v>0</v>
      </c>
      <c r="R51" s="567">
        <f t="shared" si="13"/>
        <v>0</v>
      </c>
    </row>
    <row r="52" spans="1:18" ht="15">
      <c r="A52" s="334">
        <v>202120209</v>
      </c>
      <c r="B52" s="351" t="s">
        <v>58</v>
      </c>
      <c r="C52" s="336">
        <v>9400000</v>
      </c>
      <c r="D52" s="342"/>
      <c r="E52" s="338"/>
      <c r="F52" s="339"/>
      <c r="G52" s="347"/>
      <c r="H52" s="341">
        <f t="shared" si="30"/>
        <v>9400000</v>
      </c>
      <c r="I52" s="342">
        <v>2481533</v>
      </c>
      <c r="J52" s="6">
        <v>0</v>
      </c>
      <c r="K52" s="343">
        <f>L52/H52</f>
        <v>0.26399287234042551</v>
      </c>
      <c r="L52" s="344">
        <f t="shared" si="10"/>
        <v>2481533</v>
      </c>
      <c r="M52" s="522">
        <f t="shared" si="14"/>
        <v>2481533</v>
      </c>
      <c r="N52" s="345">
        <f t="shared" si="3"/>
        <v>6918467</v>
      </c>
      <c r="O52" s="346">
        <f>N52/H52</f>
        <v>0.73600712765957443</v>
      </c>
      <c r="P52" s="344">
        <f>L52</f>
        <v>2481533</v>
      </c>
      <c r="Q52" s="567">
        <f t="shared" si="26"/>
        <v>0</v>
      </c>
      <c r="R52" s="567">
        <f t="shared" si="13"/>
        <v>0</v>
      </c>
    </row>
    <row r="53" spans="1:18" ht="15">
      <c r="A53" s="334">
        <v>202120210</v>
      </c>
      <c r="B53" s="354" t="s">
        <v>60</v>
      </c>
      <c r="C53" s="336">
        <v>10000000</v>
      </c>
      <c r="D53" s="342"/>
      <c r="E53" s="338"/>
      <c r="F53" s="339"/>
      <c r="G53" s="347"/>
      <c r="H53" s="341">
        <f t="shared" si="30"/>
        <v>10000000</v>
      </c>
      <c r="I53" s="342">
        <v>1500000</v>
      </c>
      <c r="J53" s="6">
        <v>0</v>
      </c>
      <c r="K53" s="343">
        <f>L53/H53</f>
        <v>0.15</v>
      </c>
      <c r="L53" s="344">
        <f t="shared" si="10"/>
        <v>1500000</v>
      </c>
      <c r="M53" s="522">
        <f t="shared" si="14"/>
        <v>1500000</v>
      </c>
      <c r="N53" s="345">
        <f t="shared" si="3"/>
        <v>8500000</v>
      </c>
      <c r="O53" s="346">
        <f>N53/H53</f>
        <v>0.85</v>
      </c>
      <c r="P53" s="344">
        <f t="shared" si="31"/>
        <v>1500000</v>
      </c>
      <c r="Q53" s="567">
        <f t="shared" si="26"/>
        <v>0</v>
      </c>
      <c r="R53" s="567">
        <f t="shared" si="13"/>
        <v>0</v>
      </c>
    </row>
    <row r="54" spans="1:18" ht="15">
      <c r="A54" s="334">
        <v>202120211</v>
      </c>
      <c r="B54" s="351" t="s">
        <v>62</v>
      </c>
      <c r="C54" s="336">
        <v>4000000</v>
      </c>
      <c r="D54" s="342"/>
      <c r="E54" s="338"/>
      <c r="F54" s="339"/>
      <c r="G54" s="347"/>
      <c r="H54" s="341">
        <f t="shared" si="30"/>
        <v>4000000</v>
      </c>
      <c r="I54" s="342">
        <v>1130000</v>
      </c>
      <c r="J54" s="6">
        <v>1309000</v>
      </c>
      <c r="K54" s="343">
        <v>0</v>
      </c>
      <c r="L54" s="344">
        <f t="shared" si="10"/>
        <v>2439000</v>
      </c>
      <c r="M54" s="522">
        <f t="shared" si="14"/>
        <v>2439000</v>
      </c>
      <c r="N54" s="345">
        <f t="shared" si="3"/>
        <v>1561000</v>
      </c>
      <c r="O54" s="346">
        <v>0</v>
      </c>
      <c r="P54" s="344">
        <f t="shared" si="31"/>
        <v>2439000</v>
      </c>
      <c r="Q54" s="567">
        <f t="shared" si="26"/>
        <v>0</v>
      </c>
      <c r="R54" s="567">
        <f t="shared" si="13"/>
        <v>0</v>
      </c>
    </row>
    <row r="55" spans="1:18" ht="15">
      <c r="A55" s="334">
        <v>202120212</v>
      </c>
      <c r="B55" s="351" t="s">
        <v>64</v>
      </c>
      <c r="C55" s="336">
        <v>15000000</v>
      </c>
      <c r="D55" s="342"/>
      <c r="E55" s="338"/>
      <c r="F55" s="339"/>
      <c r="G55" s="347"/>
      <c r="H55" s="341">
        <f t="shared" si="30"/>
        <v>15000000</v>
      </c>
      <c r="I55" s="342">
        <v>0</v>
      </c>
      <c r="J55" s="342">
        <v>0</v>
      </c>
      <c r="K55" s="343">
        <v>0</v>
      </c>
      <c r="L55" s="344">
        <f t="shared" si="10"/>
        <v>0</v>
      </c>
      <c r="M55" s="522">
        <f t="shared" si="14"/>
        <v>0</v>
      </c>
      <c r="N55" s="345">
        <f t="shared" si="3"/>
        <v>15000000</v>
      </c>
      <c r="O55" s="346">
        <v>0</v>
      </c>
      <c r="P55" s="344">
        <f t="shared" si="31"/>
        <v>0</v>
      </c>
      <c r="Q55" s="567">
        <f t="shared" si="26"/>
        <v>0</v>
      </c>
      <c r="R55" s="567">
        <f t="shared" si="13"/>
        <v>0</v>
      </c>
    </row>
    <row r="56" spans="1:18" ht="15">
      <c r="A56" s="334">
        <v>202120213</v>
      </c>
      <c r="B56" s="351" t="s">
        <v>65</v>
      </c>
      <c r="C56" s="336">
        <v>0</v>
      </c>
      <c r="D56" s="342"/>
      <c r="E56" s="338"/>
      <c r="F56" s="339"/>
      <c r="G56" s="347"/>
      <c r="H56" s="341">
        <f t="shared" si="30"/>
        <v>0</v>
      </c>
      <c r="I56" s="342">
        <v>0</v>
      </c>
      <c r="J56" s="342">
        <v>0</v>
      </c>
      <c r="K56" s="343">
        <v>0</v>
      </c>
      <c r="L56" s="344">
        <f t="shared" si="10"/>
        <v>0</v>
      </c>
      <c r="M56" s="522">
        <f t="shared" si="14"/>
        <v>0</v>
      </c>
      <c r="N56" s="345">
        <f t="shared" si="3"/>
        <v>0</v>
      </c>
      <c r="O56" s="346">
        <v>0</v>
      </c>
      <c r="P56" s="344">
        <f t="shared" si="31"/>
        <v>0</v>
      </c>
      <c r="Q56" s="567">
        <f t="shared" si="26"/>
        <v>0</v>
      </c>
      <c r="R56" s="567">
        <f t="shared" si="13"/>
        <v>0</v>
      </c>
    </row>
    <row r="57" spans="1:18" ht="15">
      <c r="A57" s="334">
        <v>202120214</v>
      </c>
      <c r="B57" s="351" t="s">
        <v>67</v>
      </c>
      <c r="C57" s="336">
        <v>0</v>
      </c>
      <c r="D57" s="342"/>
      <c r="E57" s="338"/>
      <c r="F57" s="339">
        <v>3500000</v>
      </c>
      <c r="G57" s="347"/>
      <c r="H57" s="341">
        <f t="shared" si="30"/>
        <v>3500000</v>
      </c>
      <c r="I57" s="342">
        <v>0</v>
      </c>
      <c r="J57" s="342">
        <v>0</v>
      </c>
      <c r="K57" s="343">
        <v>0</v>
      </c>
      <c r="L57" s="344">
        <f t="shared" si="10"/>
        <v>0</v>
      </c>
      <c r="M57" s="522">
        <f t="shared" si="14"/>
        <v>0</v>
      </c>
      <c r="N57" s="345">
        <f t="shared" si="3"/>
        <v>3500000</v>
      </c>
      <c r="O57" s="346">
        <v>0</v>
      </c>
      <c r="P57" s="344">
        <f t="shared" si="31"/>
        <v>0</v>
      </c>
      <c r="Q57" s="567">
        <f t="shared" si="26"/>
        <v>0</v>
      </c>
      <c r="R57" s="567">
        <f t="shared" si="13"/>
        <v>0</v>
      </c>
    </row>
    <row r="58" spans="1:18" ht="15">
      <c r="A58" s="358">
        <v>202120215</v>
      </c>
      <c r="B58" s="351" t="s">
        <v>97</v>
      </c>
      <c r="C58" s="336">
        <v>1200000</v>
      </c>
      <c r="D58" s="342"/>
      <c r="E58" s="338"/>
      <c r="F58" s="339"/>
      <c r="G58" s="347"/>
      <c r="H58" s="341">
        <f t="shared" si="30"/>
        <v>1200000</v>
      </c>
      <c r="I58" s="342">
        <v>0</v>
      </c>
      <c r="J58" s="342">
        <v>0</v>
      </c>
      <c r="K58" s="343">
        <f>L58/H58</f>
        <v>0</v>
      </c>
      <c r="L58" s="344">
        <f t="shared" si="10"/>
        <v>0</v>
      </c>
      <c r="M58" s="522">
        <f t="shared" si="14"/>
        <v>0</v>
      </c>
      <c r="N58" s="345">
        <f t="shared" si="3"/>
        <v>1200000</v>
      </c>
      <c r="O58" s="346">
        <f>N58/H58</f>
        <v>1</v>
      </c>
      <c r="P58" s="344">
        <f t="shared" si="31"/>
        <v>0</v>
      </c>
      <c r="Q58" s="567">
        <f t="shared" si="26"/>
        <v>0</v>
      </c>
      <c r="R58" s="567">
        <f t="shared" si="13"/>
        <v>0</v>
      </c>
    </row>
    <row r="59" spans="1:18" ht="15">
      <c r="A59" s="358">
        <v>202120216</v>
      </c>
      <c r="B59" s="351" t="s">
        <v>148</v>
      </c>
      <c r="C59" s="336">
        <v>1000000</v>
      </c>
      <c r="D59" s="342"/>
      <c r="E59" s="338"/>
      <c r="F59" s="339"/>
      <c r="G59" s="347"/>
      <c r="H59" s="341">
        <f>C59-D59+E59+F59-G59</f>
        <v>1000000</v>
      </c>
      <c r="I59" s="342">
        <v>0</v>
      </c>
      <c r="J59" s="342">
        <v>0</v>
      </c>
      <c r="K59" s="343">
        <f>L59/H59</f>
        <v>0</v>
      </c>
      <c r="L59" s="344">
        <f t="shared" si="10"/>
        <v>0</v>
      </c>
      <c r="M59" s="522">
        <f t="shared" si="14"/>
        <v>0</v>
      </c>
      <c r="N59" s="345">
        <f>H59-L59</f>
        <v>1000000</v>
      </c>
      <c r="O59" s="346">
        <f>N59/H59</f>
        <v>1</v>
      </c>
      <c r="P59" s="344">
        <f t="shared" si="31"/>
        <v>0</v>
      </c>
      <c r="Q59" s="567">
        <f t="shared" si="26"/>
        <v>0</v>
      </c>
      <c r="R59" s="567">
        <f t="shared" si="13"/>
        <v>0</v>
      </c>
    </row>
    <row r="60" spans="1:18" ht="27" customHeight="1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0</v>
      </c>
      <c r="H60" s="329">
        <f>SUM(H61:H61)</f>
        <v>75000000</v>
      </c>
      <c r="I60" s="329">
        <f>SUM(I61:I61)</f>
        <v>62645000</v>
      </c>
      <c r="J60" s="329">
        <f>SUM(J61:J61)</f>
        <v>0</v>
      </c>
      <c r="K60" s="330">
        <f>K61</f>
        <v>1</v>
      </c>
      <c r="L60" s="331">
        <f>L61</f>
        <v>62645000</v>
      </c>
      <c r="M60" s="348">
        <f t="shared" si="14"/>
        <v>62645000</v>
      </c>
      <c r="N60" s="348">
        <f>SUM(N61:N61)</f>
        <v>12355000</v>
      </c>
      <c r="O60" s="332">
        <v>0</v>
      </c>
      <c r="P60" s="329">
        <f>SUM(P61:P61)</f>
        <v>62645000</v>
      </c>
      <c r="Q60" s="329">
        <f>SUM(Q61:Q61)</f>
        <v>0</v>
      </c>
      <c r="R60" s="329">
        <f>SUM(R61:R61)</f>
        <v>0</v>
      </c>
    </row>
    <row r="61" spans="1:18" ht="15">
      <c r="A61" s="368">
        <v>202130101</v>
      </c>
      <c r="B61" s="369" t="s">
        <v>96</v>
      </c>
      <c r="C61" s="336">
        <v>75000000</v>
      </c>
      <c r="D61" s="370">
        <v>0</v>
      </c>
      <c r="E61" s="371"/>
      <c r="F61" s="372"/>
      <c r="G61" s="373"/>
      <c r="H61" s="341">
        <f>C61-D61+E61+F61-G61</f>
        <v>75000000</v>
      </c>
      <c r="I61" s="342">
        <f>AGOSTO!I61+AGOSTO!J61</f>
        <v>62645000</v>
      </c>
      <c r="J61" s="370">
        <v>0</v>
      </c>
      <c r="K61" s="343">
        <v>1</v>
      </c>
      <c r="L61" s="344">
        <f>J61+I61</f>
        <v>62645000</v>
      </c>
      <c r="M61" s="522">
        <f t="shared" si="14"/>
        <v>62645000</v>
      </c>
      <c r="N61" s="345">
        <f t="shared" si="3"/>
        <v>12355000</v>
      </c>
      <c r="O61" s="346">
        <v>0</v>
      </c>
      <c r="P61" s="344">
        <f t="shared" si="31"/>
        <v>62645000</v>
      </c>
      <c r="Q61" s="567">
        <f t="shared" si="26"/>
        <v>0</v>
      </c>
      <c r="R61" s="344"/>
    </row>
    <row r="62" spans="1:18" s="380" customFormat="1" ht="31.5" customHeight="1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167244166</v>
      </c>
      <c r="F62" s="377">
        <f>F8+F18+F38+F43++F22+F27+F60</f>
        <v>121000000</v>
      </c>
      <c r="G62" s="377">
        <f>G8+G18+G38+G43+G22+G27+G60</f>
        <v>121000000</v>
      </c>
      <c r="H62" s="377">
        <f>H8+H18+H38+H43+H22+H27+H60</f>
        <v>1322370231</v>
      </c>
      <c r="I62" s="377">
        <f>I8+I18+I38+I43+I22+I27+I60</f>
        <v>702783640.44652772</v>
      </c>
      <c r="J62" s="377">
        <f>J8+J18+J38+J43+J22+J27+J60</f>
        <v>64383509</v>
      </c>
      <c r="K62" s="378">
        <f>L62/H62</f>
        <v>0.5801455080143344</v>
      </c>
      <c r="L62" s="377">
        <f>L8+L18+L38+L43+L22+L27+L60</f>
        <v>767167149.44652772</v>
      </c>
      <c r="M62" s="377">
        <f>M8+M18+M38+M43+M22+M27+M60</f>
        <v>767167149.44652772</v>
      </c>
      <c r="N62" s="377">
        <f>N8+N18+N38+N43+N22+N27+N60</f>
        <v>555203081.55347228</v>
      </c>
      <c r="O62" s="379">
        <f>N62/H62</f>
        <v>0.4198544919856656</v>
      </c>
      <c r="P62" s="377">
        <f>P8+P18+P38+P43+P22+P27+P60</f>
        <v>728220949.44652772</v>
      </c>
      <c r="Q62" s="568">
        <f>Q9+Q18+Q22+Q27+Q44+Q49+Q60</f>
        <v>28500000</v>
      </c>
      <c r="R62" s="377">
        <f>R9+R18+R22+R27+R44+R49+R60</f>
        <v>0</v>
      </c>
    </row>
    <row r="63" spans="1:18" ht="35.25" customHeight="1">
      <c r="A63" s="621" t="s">
        <v>172</v>
      </c>
      <c r="B63" s="683" t="s">
        <v>173</v>
      </c>
      <c r="C63" s="684"/>
      <c r="D63" s="684"/>
      <c r="E63" s="684"/>
      <c r="F63" s="684"/>
      <c r="G63" s="684"/>
      <c r="H63" s="684"/>
      <c r="I63" s="684"/>
      <c r="J63" s="684"/>
      <c r="K63" s="684"/>
      <c r="L63" s="684"/>
      <c r="M63" s="684"/>
      <c r="N63" s="684"/>
      <c r="O63" s="685"/>
      <c r="P63" s="381"/>
      <c r="Q63" s="381"/>
      <c r="R63" s="381"/>
    </row>
    <row r="65" spans="4:14">
      <c r="D65" s="382"/>
      <c r="E65" s="382"/>
      <c r="F65" s="382"/>
      <c r="G65" s="382"/>
      <c r="M65" s="384" t="s">
        <v>297</v>
      </c>
      <c r="N65" s="382"/>
    </row>
    <row r="66" spans="4:14">
      <c r="G66" s="382"/>
      <c r="I66" s="382"/>
      <c r="J66" s="385"/>
      <c r="N66" s="382"/>
    </row>
    <row r="67" spans="4:14">
      <c r="D67" s="382"/>
      <c r="J67" s="382"/>
      <c r="K67" s="382"/>
      <c r="N67" s="382"/>
    </row>
    <row r="68" spans="4:14">
      <c r="H68" s="382"/>
      <c r="J68" s="382"/>
      <c r="N68" s="382"/>
    </row>
    <row r="69" spans="4:14">
      <c r="E69" s="1">
        <f>H62*2%</f>
        <v>26447404.620000001</v>
      </c>
      <c r="H69" s="382"/>
      <c r="J69" s="382"/>
    </row>
    <row r="70" spans="4:14">
      <c r="E70" s="361"/>
    </row>
  </sheetData>
  <mergeCells count="5">
    <mergeCell ref="A1:O1"/>
    <mergeCell ref="A2:O2"/>
    <mergeCell ref="A3:O3"/>
    <mergeCell ref="K5:K6"/>
    <mergeCell ref="B63:O63"/>
  </mergeCells>
  <printOptions horizontalCentered="1" verticalCentered="1"/>
  <pageMargins left="0.23622047244094491" right="0.23622047244094491" top="0.39370078740157483" bottom="0.39370078740157483" header="0" footer="0"/>
  <pageSetup paperSize="14" scale="5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zoomScale="80" zoomScaleNormal="80" zoomScaleSheetLayoutView="80" workbookViewId="0">
      <pane xSplit="2" ySplit="7" topLeftCell="C38" activePane="bottomRight" state="frozen"/>
      <selection activeCell="J228" sqref="J228"/>
      <selection pane="topRight" activeCell="J228" sqref="J228"/>
      <selection pane="bottomLeft" activeCell="J228" sqref="J228"/>
      <selection pane="bottomRight" activeCell="J228" sqref="J228"/>
    </sheetView>
  </sheetViews>
  <sheetFormatPr baseColWidth="10" defaultRowHeight="14.25"/>
  <cols>
    <col min="1" max="1" width="16" style="383" customWidth="1"/>
    <col min="2" max="2" width="35.25" style="1" customWidth="1"/>
    <col min="3" max="3" width="18.125" style="1" bestFit="1" customWidth="1"/>
    <col min="4" max="4" width="13.5" style="1" bestFit="1" customWidth="1"/>
    <col min="5" max="6" width="14.75" style="1" bestFit="1" customWidth="1"/>
    <col min="7" max="7" width="15.125" style="1" bestFit="1" customWidth="1"/>
    <col min="8" max="8" width="17.875" style="1" bestFit="1" customWidth="1"/>
    <col min="9" max="9" width="17.125" style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5.75" style="384" customWidth="1"/>
    <col min="14" max="14" width="16.875" style="1" bestFit="1" customWidth="1"/>
    <col min="15" max="15" width="8.5" style="1" customWidth="1"/>
    <col min="16" max="16" width="16.5" style="1" customWidth="1"/>
    <col min="17" max="17" width="20.625" style="1" customWidth="1"/>
    <col min="18" max="18" width="14.875" style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>
      <c r="A1" s="679" t="s">
        <v>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17"/>
      <c r="Q1" s="617"/>
      <c r="R1" s="617"/>
    </row>
    <row r="2" spans="1:18" ht="18">
      <c r="A2" s="680" t="s">
        <v>156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18"/>
      <c r="Q2" s="618"/>
      <c r="R2" s="618"/>
    </row>
    <row r="3" spans="1:18" ht="18">
      <c r="A3" s="680" t="s">
        <v>294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18"/>
      <c r="Q3" s="618"/>
      <c r="R3" s="618"/>
    </row>
    <row r="4" spans="1:18" ht="18.75" thickBot="1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2"/>
      <c r="N4" s="300"/>
      <c r="O4" s="303"/>
    </row>
    <row r="5" spans="1:18" s="537" customFormat="1" ht="23.25" customHeight="1">
      <c r="A5" s="569" t="s">
        <v>157</v>
      </c>
      <c r="B5" s="570" t="s">
        <v>1</v>
      </c>
      <c r="C5" s="649" t="s">
        <v>254</v>
      </c>
      <c r="D5" s="533" t="s">
        <v>159</v>
      </c>
      <c r="E5" s="650" t="s">
        <v>160</v>
      </c>
      <c r="F5" s="650" t="s">
        <v>2</v>
      </c>
      <c r="G5" s="649" t="s">
        <v>161</v>
      </c>
      <c r="H5" s="533" t="s">
        <v>162</v>
      </c>
      <c r="I5" s="650" t="s">
        <v>207</v>
      </c>
      <c r="J5" s="649" t="s">
        <v>164</v>
      </c>
      <c r="K5" s="681" t="s">
        <v>165</v>
      </c>
      <c r="L5" s="535" t="s">
        <v>162</v>
      </c>
      <c r="M5" s="535"/>
      <c r="N5" s="649" t="s">
        <v>166</v>
      </c>
      <c r="O5" s="536" t="s">
        <v>165</v>
      </c>
      <c r="P5" s="533" t="s">
        <v>226</v>
      </c>
      <c r="Q5" s="533" t="s">
        <v>227</v>
      </c>
      <c r="R5" s="533" t="s">
        <v>228</v>
      </c>
    </row>
    <row r="6" spans="1:18" s="537" customFormat="1" ht="23.25" customHeight="1" thickBot="1">
      <c r="A6" s="571"/>
      <c r="B6" s="572"/>
      <c r="C6" s="573" t="s">
        <v>3</v>
      </c>
      <c r="D6" s="574"/>
      <c r="E6" s="575"/>
      <c r="F6" s="575"/>
      <c r="G6" s="573" t="s">
        <v>2</v>
      </c>
      <c r="H6" s="574" t="s">
        <v>158</v>
      </c>
      <c r="I6" s="576" t="s">
        <v>167</v>
      </c>
      <c r="J6" s="573" t="s">
        <v>168</v>
      </c>
      <c r="K6" s="682"/>
      <c r="L6" s="577" t="s">
        <v>255</v>
      </c>
      <c r="M6" s="577" t="s">
        <v>231</v>
      </c>
      <c r="N6" s="573" t="s">
        <v>170</v>
      </c>
      <c r="O6" s="578"/>
      <c r="P6" s="574" t="s">
        <v>253</v>
      </c>
      <c r="Q6" s="574" t="s">
        <v>229</v>
      </c>
      <c r="R6" s="574" t="s">
        <v>230</v>
      </c>
    </row>
    <row r="7" spans="1:18" ht="1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4"/>
      <c r="N7" s="325"/>
      <c r="O7" s="326"/>
      <c r="P7" s="566"/>
      <c r="Q7" s="566"/>
      <c r="R7" s="566"/>
    </row>
    <row r="8" spans="1:18" s="333" customFormat="1" ht="27.75" customHeight="1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167244166</v>
      </c>
      <c r="F8" s="329">
        <f t="shared" si="0"/>
        <v>0</v>
      </c>
      <c r="G8" s="329">
        <f t="shared" si="0"/>
        <v>75000000</v>
      </c>
      <c r="H8" s="329">
        <f t="shared" si="0"/>
        <v>742621490</v>
      </c>
      <c r="I8" s="329">
        <f t="shared" si="0"/>
        <v>363480302.44652778</v>
      </c>
      <c r="J8" s="329">
        <f>SUM(J9:J17)</f>
        <v>44433484</v>
      </c>
      <c r="K8" s="330">
        <f t="shared" ref="K8:K19" si="1">L8/H8</f>
        <v>0.54928896071473476</v>
      </c>
      <c r="L8" s="331">
        <f>SUM(L9:L17)</f>
        <v>407913786.44652778</v>
      </c>
      <c r="M8" s="331">
        <f>SUM(M9:M17)</f>
        <v>407913786.44652778</v>
      </c>
      <c r="N8" s="329">
        <f>SUM(N9:N17)</f>
        <v>334707703.55347222</v>
      </c>
      <c r="O8" s="332">
        <f>N8/H8</f>
        <v>0.45071103928526524</v>
      </c>
      <c r="P8" s="329">
        <f>SUM(P9:P17)</f>
        <v>407913786.44652778</v>
      </c>
      <c r="Q8" s="329">
        <f>SUM(Q9:Q17)</f>
        <v>0</v>
      </c>
      <c r="R8" s="329">
        <f>SUM(R9:R17)</f>
        <v>0</v>
      </c>
    </row>
    <row r="9" spans="1:18" ht="1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PRESUPUESTO'!H7+'LIBRO DE PRESUPUESTO'!H12+'LIBRO DE PRESUPUESTO'!H15+'LIBRO DE PRESUPUESTO'!H21</f>
        <v>75000000</v>
      </c>
      <c r="H9" s="341">
        <f>C9-D9+E9+F9-G9</f>
        <v>413231324</v>
      </c>
      <c r="I9" s="342">
        <f>AGOSTO!I9+AGOSTO!J9</f>
        <v>267764249</v>
      </c>
      <c r="J9" s="4"/>
      <c r="K9" s="343">
        <f t="shared" si="1"/>
        <v>0.64797664999858529</v>
      </c>
      <c r="L9" s="344">
        <f t="shared" ref="L9:L15" si="2">J9+I9</f>
        <v>267764249</v>
      </c>
      <c r="M9" s="522">
        <f>I9+J9</f>
        <v>267764249</v>
      </c>
      <c r="N9" s="345">
        <f t="shared" ref="N9:N61" si="3">H9-L9</f>
        <v>145467075</v>
      </c>
      <c r="O9" s="346">
        <f>N9/H9</f>
        <v>0.35202335000141471</v>
      </c>
      <c r="P9" s="567">
        <f>M9</f>
        <v>267764249</v>
      </c>
      <c r="Q9" s="567">
        <f>M9-P9</f>
        <v>0</v>
      </c>
      <c r="R9" s="567">
        <f>L9-M9</f>
        <v>0</v>
      </c>
    </row>
    <row r="10" spans="1:18" ht="15">
      <c r="A10" s="334">
        <v>202110101</v>
      </c>
      <c r="B10" s="335" t="s">
        <v>217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f>AGOSTO!I10+AGOSTO!J10</f>
        <v>57442720</v>
      </c>
      <c r="J10" s="4">
        <f>'LIBRO DE PRESUPUESTO'!J23+'LIBRO DE PRESUPUESTO'!J24</f>
        <v>40893290</v>
      </c>
      <c r="K10" s="343">
        <f t="shared" si="1"/>
        <v>0.58797871610062624</v>
      </c>
      <c r="L10" s="344">
        <f t="shared" si="2"/>
        <v>98336010</v>
      </c>
      <c r="M10" s="522">
        <f t="shared" ref="M10:M17" si="4">I10+J10</f>
        <v>98336010</v>
      </c>
      <c r="N10" s="345">
        <f t="shared" si="3"/>
        <v>68908156</v>
      </c>
      <c r="O10" s="346">
        <f>N10/H10</f>
        <v>0.41202128389937381</v>
      </c>
      <c r="P10" s="567">
        <f>L10</f>
        <v>98336010</v>
      </c>
      <c r="Q10" s="567">
        <f t="shared" ref="Q10:Q17" si="5">M10-P10</f>
        <v>0</v>
      </c>
      <c r="R10" s="567">
        <f t="shared" ref="R10:R17" si="6">L10-M10</f>
        <v>0</v>
      </c>
    </row>
    <row r="11" spans="1:18" ht="15">
      <c r="A11" s="334">
        <v>202110103</v>
      </c>
      <c r="B11" s="335" t="s">
        <v>11</v>
      </c>
      <c r="C11" s="336">
        <f>'PAC INICIAL 2020'!C25</f>
        <v>1246000</v>
      </c>
      <c r="D11" s="337"/>
      <c r="E11" s="338"/>
      <c r="F11" s="339"/>
      <c r="G11" s="347"/>
      <c r="H11" s="341">
        <f t="shared" ref="H11:H21" si="7">C11-D11+E11+F11-G11</f>
        <v>1246000</v>
      </c>
      <c r="I11" s="342">
        <f>AGOSTO!I11+AGOSTO!J11</f>
        <v>822832</v>
      </c>
      <c r="J11" s="342">
        <f>'LIBRO DE PRESUPUESTO'!J43</f>
        <v>102854</v>
      </c>
      <c r="K11" s="343">
        <f t="shared" si="1"/>
        <v>0.74292616372391651</v>
      </c>
      <c r="L11" s="344">
        <f t="shared" si="2"/>
        <v>925686</v>
      </c>
      <c r="M11" s="522">
        <f t="shared" si="4"/>
        <v>925686</v>
      </c>
      <c r="N11" s="345">
        <f t="shared" si="3"/>
        <v>320314</v>
      </c>
      <c r="O11" s="346">
        <f t="shared" ref="O11:O19" si="8">N11/H11</f>
        <v>0.25707383627608349</v>
      </c>
      <c r="P11" s="567">
        <f t="shared" ref="P11:P26" si="9">L11</f>
        <v>925686</v>
      </c>
      <c r="Q11" s="567">
        <f t="shared" si="5"/>
        <v>0</v>
      </c>
      <c r="R11" s="567">
        <f t="shared" si="6"/>
        <v>0</v>
      </c>
    </row>
    <row r="12" spans="1:18" ht="15.75" customHeight="1">
      <c r="A12" s="334">
        <v>202110104</v>
      </c>
      <c r="B12" s="335" t="s">
        <v>13</v>
      </c>
      <c r="C12" s="336">
        <f>'PAC INICIAL 2020'!C26</f>
        <v>900000</v>
      </c>
      <c r="D12" s="337"/>
      <c r="E12" s="338"/>
      <c r="F12" s="339"/>
      <c r="G12" s="347"/>
      <c r="H12" s="341">
        <f t="shared" si="7"/>
        <v>900000</v>
      </c>
      <c r="I12" s="342">
        <f>AGOSTO!I12+AGOSTO!J12</f>
        <v>528784</v>
      </c>
      <c r="J12" s="342">
        <f>'LIBRO DE PRESUPUESTO'!J60</f>
        <v>66098</v>
      </c>
      <c r="K12" s="343">
        <f t="shared" si="1"/>
        <v>0.66098000000000001</v>
      </c>
      <c r="L12" s="344">
        <f t="shared" si="2"/>
        <v>594882</v>
      </c>
      <c r="M12" s="522">
        <f t="shared" si="4"/>
        <v>594882</v>
      </c>
      <c r="N12" s="345">
        <f t="shared" si="3"/>
        <v>305118</v>
      </c>
      <c r="O12" s="346">
        <f t="shared" si="8"/>
        <v>0.33901999999999999</v>
      </c>
      <c r="P12" s="567">
        <f t="shared" si="9"/>
        <v>594882</v>
      </c>
      <c r="Q12" s="567">
        <f t="shared" si="5"/>
        <v>0</v>
      </c>
      <c r="R12" s="567">
        <f t="shared" si="6"/>
        <v>0</v>
      </c>
    </row>
    <row r="13" spans="1:18" ht="15">
      <c r="A13" s="334">
        <v>202110105</v>
      </c>
      <c r="B13" s="335" t="s">
        <v>15</v>
      </c>
      <c r="C13" s="336">
        <f>'PAC INICIAL 2020'!C27</f>
        <v>17000000</v>
      </c>
      <c r="D13" s="337"/>
      <c r="E13" s="338"/>
      <c r="F13" s="339"/>
      <c r="G13" s="347"/>
      <c r="H13" s="341">
        <f t="shared" si="7"/>
        <v>17000000</v>
      </c>
      <c r="I13" s="342">
        <f>AGOSTO!I13+AGOSTO!J13</f>
        <v>5839085</v>
      </c>
      <c r="J13" s="4">
        <f>'LIBRO DE PRESUPUESTO'!J78+'LIBRO DE PRESUPUESTO'!J79+'LIBRO DE PRESUPUESTO'!J80</f>
        <v>3371242</v>
      </c>
      <c r="K13" s="343">
        <f t="shared" si="1"/>
        <v>0.54178394117647055</v>
      </c>
      <c r="L13" s="344">
        <f t="shared" si="2"/>
        <v>9210327</v>
      </c>
      <c r="M13" s="522">
        <f t="shared" si="4"/>
        <v>9210327</v>
      </c>
      <c r="N13" s="345">
        <f t="shared" si="3"/>
        <v>7789673</v>
      </c>
      <c r="O13" s="346">
        <f t="shared" si="8"/>
        <v>0.45821605882352939</v>
      </c>
      <c r="P13" s="567">
        <f t="shared" si="9"/>
        <v>9210327</v>
      </c>
      <c r="Q13" s="567">
        <f t="shared" si="5"/>
        <v>0</v>
      </c>
      <c r="R13" s="567">
        <f t="shared" si="6"/>
        <v>0</v>
      </c>
    </row>
    <row r="14" spans="1:18" ht="15">
      <c r="A14" s="334">
        <v>202110106</v>
      </c>
      <c r="B14" s="335" t="s">
        <v>17</v>
      </c>
      <c r="C14" s="336">
        <f>'PAC INICIAL 2020'!C28</f>
        <v>24000000</v>
      </c>
      <c r="D14" s="337"/>
      <c r="E14" s="338"/>
      <c r="F14" s="339"/>
      <c r="G14" s="347"/>
      <c r="H14" s="341">
        <f t="shared" si="7"/>
        <v>24000000</v>
      </c>
      <c r="I14" s="342">
        <f>AGOSTO!I14+AGOSTO!J14</f>
        <v>20831174.446527779</v>
      </c>
      <c r="J14" s="4">
        <v>0</v>
      </c>
      <c r="K14" s="343">
        <f t="shared" si="1"/>
        <v>0.86796560193865746</v>
      </c>
      <c r="L14" s="344">
        <f t="shared" si="2"/>
        <v>20831174.446527779</v>
      </c>
      <c r="M14" s="522">
        <f t="shared" si="4"/>
        <v>20831174.446527779</v>
      </c>
      <c r="N14" s="345">
        <f t="shared" si="3"/>
        <v>3168825.5534722209</v>
      </c>
      <c r="O14" s="346">
        <f t="shared" si="8"/>
        <v>0.13203439806134254</v>
      </c>
      <c r="P14" s="567">
        <f t="shared" si="9"/>
        <v>20831174.446527779</v>
      </c>
      <c r="Q14" s="567">
        <f t="shared" si="5"/>
        <v>0</v>
      </c>
      <c r="R14" s="567">
        <f t="shared" si="6"/>
        <v>0</v>
      </c>
    </row>
    <row r="15" spans="1:18" ht="15">
      <c r="A15" s="334">
        <v>202110107</v>
      </c>
      <c r="B15" s="335" t="s">
        <v>19</v>
      </c>
      <c r="C15" s="336">
        <f>'PAC INICIAL 2020'!C29</f>
        <v>28000000</v>
      </c>
      <c r="D15" s="337"/>
      <c r="E15" s="338"/>
      <c r="F15" s="339"/>
      <c r="G15" s="347"/>
      <c r="H15" s="341">
        <f t="shared" si="7"/>
        <v>28000000</v>
      </c>
      <c r="I15" s="342">
        <f>AGOSTO!I15+AGOSTO!J15</f>
        <v>3558184</v>
      </c>
      <c r="J15" s="4">
        <v>0</v>
      </c>
      <c r="K15" s="343">
        <f t="shared" si="1"/>
        <v>0.127078</v>
      </c>
      <c r="L15" s="344">
        <f t="shared" si="2"/>
        <v>3558184</v>
      </c>
      <c r="M15" s="522">
        <f t="shared" si="4"/>
        <v>3558184</v>
      </c>
      <c r="N15" s="345">
        <f t="shared" si="3"/>
        <v>24441816</v>
      </c>
      <c r="O15" s="346">
        <f t="shared" si="8"/>
        <v>0.87292199999999998</v>
      </c>
      <c r="P15" s="567">
        <f t="shared" si="9"/>
        <v>3558184</v>
      </c>
      <c r="Q15" s="567">
        <f t="shared" si="5"/>
        <v>0</v>
      </c>
      <c r="R15" s="567">
        <f t="shared" si="6"/>
        <v>0</v>
      </c>
    </row>
    <row r="16" spans="1:18" ht="15">
      <c r="A16" s="334">
        <v>202110109</v>
      </c>
      <c r="B16" s="335" t="s">
        <v>20</v>
      </c>
      <c r="C16" s="336">
        <f>'PAC INICIAL 2020'!C30</f>
        <v>36000000</v>
      </c>
      <c r="D16" s="337"/>
      <c r="E16" s="338"/>
      <c r="F16" s="339"/>
      <c r="G16" s="347"/>
      <c r="H16" s="341">
        <f t="shared" si="7"/>
        <v>36000000</v>
      </c>
      <c r="I16" s="342">
        <f>AGOSTO!I16+AGOSTO!J16</f>
        <v>5287971</v>
      </c>
      <c r="J16" s="4">
        <v>0</v>
      </c>
      <c r="K16" s="343">
        <f t="shared" si="1"/>
        <v>0.14688808333333334</v>
      </c>
      <c r="L16" s="344">
        <f>J16+I16</f>
        <v>5287971</v>
      </c>
      <c r="M16" s="522">
        <f t="shared" si="4"/>
        <v>5287971</v>
      </c>
      <c r="N16" s="345">
        <f t="shared" si="3"/>
        <v>30712029</v>
      </c>
      <c r="O16" s="346">
        <f t="shared" si="8"/>
        <v>0.85311191666666664</v>
      </c>
      <c r="P16" s="567">
        <f t="shared" si="9"/>
        <v>5287971</v>
      </c>
      <c r="Q16" s="567">
        <f t="shared" si="5"/>
        <v>0</v>
      </c>
      <c r="R16" s="567">
        <f t="shared" si="6"/>
        <v>0</v>
      </c>
    </row>
    <row r="17" spans="1:18" ht="15">
      <c r="A17" s="334">
        <v>202110108</v>
      </c>
      <c r="B17" s="335" t="s">
        <v>21</v>
      </c>
      <c r="C17" s="336">
        <f>'PAC INICIAL 2020'!C31</f>
        <v>55000000</v>
      </c>
      <c r="D17" s="337"/>
      <c r="E17" s="338"/>
      <c r="F17" s="339"/>
      <c r="G17" s="347"/>
      <c r="H17" s="341">
        <f t="shared" si="7"/>
        <v>55000000</v>
      </c>
      <c r="I17" s="342">
        <f>AGOSTO!I17+AGOSTO!J17</f>
        <v>1405303</v>
      </c>
      <c r="J17" s="4">
        <v>0</v>
      </c>
      <c r="K17" s="343">
        <f t="shared" si="1"/>
        <v>2.5550963636363635E-2</v>
      </c>
      <c r="L17" s="344">
        <f t="shared" ref="L17:L59" si="10">J17+I17</f>
        <v>1405303</v>
      </c>
      <c r="M17" s="522">
        <f t="shared" si="4"/>
        <v>1405303</v>
      </c>
      <c r="N17" s="345">
        <f t="shared" si="3"/>
        <v>53594697</v>
      </c>
      <c r="O17" s="346">
        <f t="shared" si="8"/>
        <v>0.97444903636363633</v>
      </c>
      <c r="P17" s="567">
        <f t="shared" si="9"/>
        <v>1405303</v>
      </c>
      <c r="Q17" s="567">
        <f t="shared" si="5"/>
        <v>0</v>
      </c>
      <c r="R17" s="567">
        <f t="shared" si="6"/>
        <v>0</v>
      </c>
    </row>
    <row r="18" spans="1:18" s="349" customFormat="1" ht="27.75" customHeight="1">
      <c r="A18" s="327">
        <v>2021102</v>
      </c>
      <c r="B18" s="328" t="s">
        <v>23</v>
      </c>
      <c r="C18" s="329">
        <f t="shared" ref="C18:J18" si="11">SUM(C19:C21)</f>
        <v>20000000</v>
      </c>
      <c r="D18" s="329">
        <f t="shared" si="11"/>
        <v>0</v>
      </c>
      <c r="E18" s="329">
        <f t="shared" si="11"/>
        <v>0</v>
      </c>
      <c r="F18" s="329">
        <f t="shared" si="11"/>
        <v>91500000</v>
      </c>
      <c r="G18" s="329">
        <f t="shared" si="11"/>
        <v>0</v>
      </c>
      <c r="H18" s="329">
        <f t="shared" si="11"/>
        <v>111500000</v>
      </c>
      <c r="I18" s="329">
        <f t="shared" si="11"/>
        <v>106500000</v>
      </c>
      <c r="J18" s="329">
        <f t="shared" si="11"/>
        <v>0</v>
      </c>
      <c r="K18" s="330">
        <f t="shared" si="1"/>
        <v>0.95515695067264572</v>
      </c>
      <c r="L18" s="348">
        <f>SUM(L19:L21)</f>
        <v>106500000</v>
      </c>
      <c r="M18" s="348">
        <f>SUM(M19:M21)</f>
        <v>106500000</v>
      </c>
      <c r="N18" s="348">
        <f>SUM(N19:N21)</f>
        <v>5000000</v>
      </c>
      <c r="O18" s="332">
        <f t="shared" si="8"/>
        <v>4.4843049327354258E-2</v>
      </c>
      <c r="P18" s="329">
        <f>SUM(P19:P21)</f>
        <v>78000000</v>
      </c>
      <c r="Q18" s="329">
        <f>SUM(Q19:Q21)</f>
        <v>28500000</v>
      </c>
      <c r="R18" s="329">
        <f>SUM(R19:R21)</f>
        <v>0</v>
      </c>
    </row>
    <row r="19" spans="1:18" ht="15">
      <c r="A19" s="334">
        <v>202110201</v>
      </c>
      <c r="B19" s="350" t="s">
        <v>25</v>
      </c>
      <c r="C19" s="336">
        <f>'PAC INICIAL 2020'!C33</f>
        <v>20000000</v>
      </c>
      <c r="D19" s="342"/>
      <c r="E19" s="338"/>
      <c r="F19" s="339">
        <f>'LIBRO DE PRESUPUESTO'!G161+'LIBRO DE PRESUPUESTO'!G167</f>
        <v>67000000</v>
      </c>
      <c r="G19" s="347"/>
      <c r="H19" s="341">
        <f t="shared" si="7"/>
        <v>87000000</v>
      </c>
      <c r="I19" s="342">
        <f>AGOSTO!I19+AGOSTO!J19</f>
        <v>82000000</v>
      </c>
      <c r="J19" s="342">
        <v>0</v>
      </c>
      <c r="K19" s="343">
        <f t="shared" si="1"/>
        <v>0.94252873563218387</v>
      </c>
      <c r="L19" s="344">
        <f t="shared" si="10"/>
        <v>82000000</v>
      </c>
      <c r="M19" s="522">
        <f>I19+J19</f>
        <v>82000000</v>
      </c>
      <c r="N19" s="345">
        <f t="shared" si="3"/>
        <v>5000000</v>
      </c>
      <c r="O19" s="346">
        <f t="shared" si="8"/>
        <v>5.7471264367816091E-2</v>
      </c>
      <c r="P19" s="567">
        <f>L19-16000000-5000000</f>
        <v>61000000</v>
      </c>
      <c r="Q19" s="567">
        <f t="shared" ref="Q19:Q26" si="12">M19-P19</f>
        <v>21000000</v>
      </c>
      <c r="R19" s="567">
        <f t="shared" ref="R19:R59" si="13">L19-M19</f>
        <v>0</v>
      </c>
    </row>
    <row r="20" spans="1:18" ht="1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f>'LIBRO DE PRESUPUESTO'!G176+'LIBRO DE PRESUPUESTO'!G178+'LIBRO DE PRESUPUESTO'!G180</f>
        <v>24500000</v>
      </c>
      <c r="G20" s="347"/>
      <c r="H20" s="341">
        <f t="shared" si="7"/>
        <v>24500000</v>
      </c>
      <c r="I20" s="342">
        <f>AGOSTO!I20+AGOSTO!J20</f>
        <v>24500000</v>
      </c>
      <c r="J20" s="342">
        <v>0</v>
      </c>
      <c r="K20" s="343">
        <v>0</v>
      </c>
      <c r="L20" s="344">
        <f t="shared" si="10"/>
        <v>24500000</v>
      </c>
      <c r="M20" s="522">
        <f t="shared" ref="M20:M61" si="14">I20+J20</f>
        <v>24500000</v>
      </c>
      <c r="N20" s="345">
        <f t="shared" si="3"/>
        <v>0</v>
      </c>
      <c r="O20" s="346">
        <v>0</v>
      </c>
      <c r="P20" s="567">
        <f>L20-7500000</f>
        <v>17000000</v>
      </c>
      <c r="Q20" s="567">
        <f t="shared" si="12"/>
        <v>7500000</v>
      </c>
      <c r="R20" s="567">
        <f t="shared" si="13"/>
        <v>0</v>
      </c>
    </row>
    <row r="21" spans="1:18" ht="1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7"/>
        <v>0</v>
      </c>
      <c r="I21" s="342">
        <f>JULIO!I21+JULIO!J21</f>
        <v>0</v>
      </c>
      <c r="J21" s="2">
        <v>0</v>
      </c>
      <c r="K21" s="343">
        <v>0</v>
      </c>
      <c r="L21" s="344">
        <f t="shared" si="10"/>
        <v>0</v>
      </c>
      <c r="M21" s="522">
        <f t="shared" si="14"/>
        <v>0</v>
      </c>
      <c r="N21" s="345">
        <f t="shared" si="3"/>
        <v>0</v>
      </c>
      <c r="O21" s="346">
        <v>0</v>
      </c>
      <c r="P21" s="567">
        <f t="shared" si="9"/>
        <v>0</v>
      </c>
      <c r="Q21" s="567">
        <f t="shared" si="12"/>
        <v>0</v>
      </c>
      <c r="R21" s="567">
        <f t="shared" si="13"/>
        <v>0</v>
      </c>
    </row>
    <row r="22" spans="1:18" ht="30">
      <c r="A22" s="327">
        <v>2021103</v>
      </c>
      <c r="B22" s="359" t="s">
        <v>69</v>
      </c>
      <c r="C22" s="360">
        <f>SUM(C23:C26)</f>
        <v>83629741</v>
      </c>
      <c r="D22" s="360">
        <f t="shared" ref="D22:J22" si="15">SUM(D23:D26)</f>
        <v>0</v>
      </c>
      <c r="E22" s="360">
        <f t="shared" si="15"/>
        <v>0</v>
      </c>
      <c r="F22" s="360">
        <f t="shared" si="15"/>
        <v>0</v>
      </c>
      <c r="G22" s="360">
        <f t="shared" si="15"/>
        <v>0</v>
      </c>
      <c r="H22" s="360">
        <f t="shared" si="15"/>
        <v>83629741</v>
      </c>
      <c r="I22" s="360">
        <f t="shared" si="15"/>
        <v>36250563</v>
      </c>
      <c r="J22" s="360">
        <f t="shared" si="15"/>
        <v>4456281</v>
      </c>
      <c r="K22" s="330">
        <f>L22/H22</f>
        <v>0.48675080794522607</v>
      </c>
      <c r="L22" s="583">
        <f>SUM(L23:L26)</f>
        <v>40706844</v>
      </c>
      <c r="M22" s="583">
        <f>SUM(M23:M26)</f>
        <v>40706844</v>
      </c>
      <c r="N22" s="583">
        <f>SUM(N23:N26)</f>
        <v>42922897</v>
      </c>
      <c r="O22" s="332">
        <f t="shared" ref="O22:O28" si="16">N22/H22</f>
        <v>0.51324919205477393</v>
      </c>
      <c r="P22" s="329">
        <f>SUM(P23:P26)</f>
        <v>40706844</v>
      </c>
      <c r="Q22" s="329">
        <f>SUM(Q23:Q26)</f>
        <v>0</v>
      </c>
      <c r="R22" s="329">
        <f>SUM(R23:R26)</f>
        <v>0</v>
      </c>
    </row>
    <row r="23" spans="1:18" ht="15">
      <c r="A23" s="334">
        <v>202110301</v>
      </c>
      <c r="B23" s="351" t="s">
        <v>71</v>
      </c>
      <c r="C23" s="336">
        <f>'PAC INICIAL 2020'!C60</f>
        <v>16000083</v>
      </c>
      <c r="D23" s="337"/>
      <c r="E23" s="338"/>
      <c r="F23" s="339"/>
      <c r="G23" s="347"/>
      <c r="H23" s="341">
        <f>C23-D23+E23+F23-G23</f>
        <v>16000083</v>
      </c>
      <c r="I23" s="342">
        <f>AGOSTO!I23+AGOSTO!J23</f>
        <v>1440737</v>
      </c>
      <c r="J23" s="4"/>
      <c r="K23" s="343">
        <f t="shared" ref="K23:K36" si="17">L23/H23</f>
        <v>9.0045595388473926E-2</v>
      </c>
      <c r="L23" s="344">
        <f>J23+I23</f>
        <v>1440737</v>
      </c>
      <c r="M23" s="522">
        <f t="shared" si="14"/>
        <v>1440737</v>
      </c>
      <c r="N23" s="345">
        <f>H23-L23</f>
        <v>14559346</v>
      </c>
      <c r="O23" s="346">
        <f t="shared" si="16"/>
        <v>0.9099544046115261</v>
      </c>
      <c r="P23" s="567">
        <f t="shared" si="9"/>
        <v>1440737</v>
      </c>
      <c r="Q23" s="567">
        <f t="shared" si="12"/>
        <v>0</v>
      </c>
      <c r="R23" s="567">
        <f t="shared" si="13"/>
        <v>0</v>
      </c>
    </row>
    <row r="24" spans="1:18" ht="15">
      <c r="A24" s="334">
        <v>202110302</v>
      </c>
      <c r="B24" s="351" t="s">
        <v>73</v>
      </c>
      <c r="C24" s="336">
        <f>'PAC INICIAL 2020'!C61</f>
        <v>46429658</v>
      </c>
      <c r="D24" s="337"/>
      <c r="E24" s="338"/>
      <c r="F24" s="339"/>
      <c r="G24" s="347"/>
      <c r="H24" s="341">
        <f>C24-D24+E24+F24-G24</f>
        <v>46429658</v>
      </c>
      <c r="I24" s="342">
        <f>AGOSTO!I24+AGOSTO!J24</f>
        <v>27554831</v>
      </c>
      <c r="J24" s="4">
        <f>'LIBRO DE PRESUPUESTO'!J581+'LIBRO DE PRESUPUESTO'!J582</f>
        <v>3735662</v>
      </c>
      <c r="K24" s="343">
        <f t="shared" si="17"/>
        <v>0.67393330788695449</v>
      </c>
      <c r="L24" s="344">
        <f>J24+I24</f>
        <v>31290493</v>
      </c>
      <c r="M24" s="522">
        <f t="shared" si="14"/>
        <v>31290493</v>
      </c>
      <c r="N24" s="345">
        <f>H24-L24</f>
        <v>15139165</v>
      </c>
      <c r="O24" s="346">
        <f t="shared" si="16"/>
        <v>0.32606669211304551</v>
      </c>
      <c r="P24" s="567">
        <f>L24</f>
        <v>31290493</v>
      </c>
      <c r="Q24" s="567">
        <f t="shared" si="12"/>
        <v>0</v>
      </c>
      <c r="R24" s="567">
        <f t="shared" si="13"/>
        <v>0</v>
      </c>
    </row>
    <row r="25" spans="1:18" ht="15">
      <c r="A25" s="334">
        <v>202110304</v>
      </c>
      <c r="B25" s="351" t="s">
        <v>74</v>
      </c>
      <c r="C25" s="336">
        <f>'PAC INICIAL 2020'!C62</f>
        <v>14000000</v>
      </c>
      <c r="D25" s="337"/>
      <c r="E25" s="338"/>
      <c r="F25" s="339"/>
      <c r="G25" s="347"/>
      <c r="H25" s="341">
        <f>C25-D25+E25+F25-G25</f>
        <v>14000000</v>
      </c>
      <c r="I25" s="342">
        <f>AGOSTO!I25+AGOSTO!J25</f>
        <v>7082106</v>
      </c>
      <c r="J25" s="4">
        <f>'LIBRO DE PRESUPUESTO'!J596</f>
        <v>720619</v>
      </c>
      <c r="K25" s="343">
        <f t="shared" si="17"/>
        <v>0.55733750000000004</v>
      </c>
      <c r="L25" s="344">
        <f>J25+I25</f>
        <v>7802725</v>
      </c>
      <c r="M25" s="522">
        <f t="shared" si="14"/>
        <v>7802725</v>
      </c>
      <c r="N25" s="345">
        <f>H25-L25</f>
        <v>6197275</v>
      </c>
      <c r="O25" s="346">
        <f t="shared" si="16"/>
        <v>0.44266250000000001</v>
      </c>
      <c r="P25" s="567">
        <f>L25</f>
        <v>7802725</v>
      </c>
      <c r="Q25" s="567">
        <f t="shared" si="12"/>
        <v>0</v>
      </c>
      <c r="R25" s="567">
        <f t="shared" si="13"/>
        <v>0</v>
      </c>
    </row>
    <row r="26" spans="1:18" ht="15">
      <c r="A26" s="334">
        <v>202110305</v>
      </c>
      <c r="B26" s="351" t="s">
        <v>75</v>
      </c>
      <c r="C26" s="336">
        <f>'PAC INICIAL 2020'!C63</f>
        <v>7200000</v>
      </c>
      <c r="D26" s="362"/>
      <c r="E26" s="338"/>
      <c r="F26" s="339"/>
      <c r="G26" s="363"/>
      <c r="H26" s="341">
        <f>C26-D26+E26+F26-G26</f>
        <v>7200000</v>
      </c>
      <c r="I26" s="342">
        <f>AGOSTO!I26+AGOSTO!J26</f>
        <v>172889</v>
      </c>
      <c r="J26" s="341">
        <v>0</v>
      </c>
      <c r="K26" s="343">
        <f t="shared" si="17"/>
        <v>2.4012361111111113E-2</v>
      </c>
      <c r="L26" s="344">
        <f>J26+I26</f>
        <v>172889</v>
      </c>
      <c r="M26" s="522">
        <f t="shared" si="14"/>
        <v>172889</v>
      </c>
      <c r="N26" s="345">
        <f>H26-L26</f>
        <v>7027111</v>
      </c>
      <c r="O26" s="346">
        <f t="shared" si="16"/>
        <v>0.97598763888888884</v>
      </c>
      <c r="P26" s="567">
        <f t="shared" si="9"/>
        <v>172889</v>
      </c>
      <c r="Q26" s="567">
        <f t="shared" si="12"/>
        <v>0</v>
      </c>
      <c r="R26" s="567">
        <f t="shared" si="13"/>
        <v>0</v>
      </c>
    </row>
    <row r="27" spans="1:18" ht="15.75">
      <c r="A27" s="327">
        <v>2021104</v>
      </c>
      <c r="B27" s="364" t="s">
        <v>76</v>
      </c>
      <c r="C27" s="360">
        <f t="shared" ref="C27:J27" si="18">SUM(C28:C37)</f>
        <v>177100000</v>
      </c>
      <c r="D27" s="360">
        <f t="shared" si="18"/>
        <v>0</v>
      </c>
      <c r="E27" s="360">
        <f t="shared" si="18"/>
        <v>0</v>
      </c>
      <c r="F27" s="360">
        <f t="shared" si="18"/>
        <v>0</v>
      </c>
      <c r="G27" s="360">
        <f t="shared" si="18"/>
        <v>46000000</v>
      </c>
      <c r="H27" s="360">
        <f t="shared" si="18"/>
        <v>131100000</v>
      </c>
      <c r="I27" s="329">
        <f t="shared" si="18"/>
        <v>63067436</v>
      </c>
      <c r="J27" s="329">
        <f t="shared" si="18"/>
        <v>8941111</v>
      </c>
      <c r="K27" s="330">
        <f>L27/H27</f>
        <v>0.54926427917620135</v>
      </c>
      <c r="L27" s="331">
        <f>SUM(L28:L37)</f>
        <v>72008547</v>
      </c>
      <c r="M27" s="348">
        <f>SUM(M28:M37)</f>
        <v>72008547</v>
      </c>
      <c r="N27" s="348">
        <f>SUM(N28:N37)</f>
        <v>59091453</v>
      </c>
      <c r="O27" s="332">
        <f t="shared" si="16"/>
        <v>0.45073572082379865</v>
      </c>
      <c r="P27" s="329">
        <f>SUM(P28:P37)</f>
        <v>72008547</v>
      </c>
      <c r="Q27" s="329">
        <f>SUM(Q28:Q37)</f>
        <v>0</v>
      </c>
      <c r="R27" s="329">
        <f>SUM(R28:R43)</f>
        <v>0</v>
      </c>
    </row>
    <row r="28" spans="1:18" ht="15">
      <c r="A28" s="365">
        <v>202110401</v>
      </c>
      <c r="B28" s="351" t="s">
        <v>78</v>
      </c>
      <c r="C28" s="336">
        <f>'PAC INICIAL 2020'!C65</f>
        <v>56000000</v>
      </c>
      <c r="D28" s="337"/>
      <c r="E28" s="338"/>
      <c r="F28" s="339"/>
      <c r="G28" s="347">
        <f>'LIBRO DE PRESUPUESTO'!H615</f>
        <v>46000000</v>
      </c>
      <c r="H28" s="341">
        <f t="shared" ref="H28:H37" si="19">C28-D28+E28+F28-G28</f>
        <v>10000000</v>
      </c>
      <c r="I28" s="342">
        <f>AGOSTO!I28+AGOSTO!J28</f>
        <v>102050</v>
      </c>
      <c r="J28" s="2">
        <v>0</v>
      </c>
      <c r="K28" s="343">
        <f t="shared" si="17"/>
        <v>1.0205000000000001E-2</v>
      </c>
      <c r="L28" s="344">
        <f t="shared" ref="L28:L37" si="20">J28+I28</f>
        <v>102050</v>
      </c>
      <c r="M28" s="522">
        <f t="shared" si="14"/>
        <v>102050</v>
      </c>
      <c r="N28" s="345">
        <f t="shared" ref="N28:N37" si="21">H28-L28</f>
        <v>9897950</v>
      </c>
      <c r="O28" s="346">
        <f t="shared" si="16"/>
        <v>0.98979499999999998</v>
      </c>
      <c r="P28" s="344">
        <f>L28</f>
        <v>102050</v>
      </c>
      <c r="Q28" s="567">
        <f>M28-P28</f>
        <v>0</v>
      </c>
      <c r="R28" s="567">
        <f>L28-M28</f>
        <v>0</v>
      </c>
    </row>
    <row r="29" spans="1:18" ht="15">
      <c r="A29" s="334">
        <v>202110402</v>
      </c>
      <c r="B29" s="351" t="s">
        <v>73</v>
      </c>
      <c r="C29" s="336">
        <f>'PAC INICIAL 2020'!C66</f>
        <v>0</v>
      </c>
      <c r="D29" s="337"/>
      <c r="E29" s="338"/>
      <c r="F29" s="339"/>
      <c r="G29" s="347"/>
      <c r="H29" s="341">
        <f t="shared" si="19"/>
        <v>0</v>
      </c>
      <c r="I29" s="342">
        <f>AGOSTO!I29+AGOSTO!J29</f>
        <v>0</v>
      </c>
      <c r="J29" s="342"/>
      <c r="K29" s="343">
        <v>0</v>
      </c>
      <c r="L29" s="353">
        <f t="shared" si="20"/>
        <v>0</v>
      </c>
      <c r="M29" s="522">
        <f t="shared" si="14"/>
        <v>0</v>
      </c>
      <c r="N29" s="345">
        <f t="shared" si="21"/>
        <v>0</v>
      </c>
      <c r="O29" s="346">
        <v>0</v>
      </c>
      <c r="P29" s="344">
        <f t="shared" ref="P29:P37" si="22">L29</f>
        <v>0</v>
      </c>
      <c r="Q29" s="567">
        <f t="shared" ref="Q29:Q37" si="23">M29-P29</f>
        <v>0</v>
      </c>
      <c r="R29" s="567">
        <f t="shared" si="13"/>
        <v>0</v>
      </c>
    </row>
    <row r="30" spans="1:18" ht="15">
      <c r="A30" s="334">
        <v>202110403</v>
      </c>
      <c r="B30" s="351" t="s">
        <v>81</v>
      </c>
      <c r="C30" s="336">
        <f>'PAC INICIAL 2020'!C67</f>
        <v>3900000</v>
      </c>
      <c r="D30" s="337"/>
      <c r="E30" s="338"/>
      <c r="F30" s="339"/>
      <c r="G30" s="347"/>
      <c r="H30" s="341">
        <f t="shared" si="19"/>
        <v>3900000</v>
      </c>
      <c r="I30" s="342">
        <f>AGOSTO!I30+AGOSTO!J30</f>
        <v>1687400</v>
      </c>
      <c r="J30" s="4">
        <f>'LIBRO DE PRESUPUESTO'!J641+'LIBRO DE PRESUPUESTO'!J642</f>
        <v>229300</v>
      </c>
      <c r="K30" s="343">
        <f t="shared" si="17"/>
        <v>0.49146153846153845</v>
      </c>
      <c r="L30" s="344">
        <f t="shared" si="20"/>
        <v>1916700</v>
      </c>
      <c r="M30" s="522">
        <f t="shared" si="14"/>
        <v>1916700</v>
      </c>
      <c r="N30" s="345">
        <f t="shared" si="21"/>
        <v>1983300</v>
      </c>
      <c r="O30" s="346">
        <f t="shared" ref="O30:O36" si="24">N30/H30</f>
        <v>0.50853846153846149</v>
      </c>
      <c r="P30" s="344">
        <f t="shared" si="22"/>
        <v>1916700</v>
      </c>
      <c r="Q30" s="567">
        <f t="shared" si="23"/>
        <v>0</v>
      </c>
      <c r="R30" s="567">
        <f t="shared" si="13"/>
        <v>0</v>
      </c>
    </row>
    <row r="31" spans="1:18" ht="15">
      <c r="A31" s="334">
        <v>202110404</v>
      </c>
      <c r="B31" s="351" t="s">
        <v>74</v>
      </c>
      <c r="C31" s="336">
        <f>'PAC INICIAL 2020'!C68</f>
        <v>52000000</v>
      </c>
      <c r="D31" s="337"/>
      <c r="E31" s="338"/>
      <c r="F31" s="339"/>
      <c r="G31" s="347"/>
      <c r="H31" s="341">
        <f t="shared" si="19"/>
        <v>52000000</v>
      </c>
      <c r="I31" s="342">
        <f>AGOSTO!I31+AGOSTO!J31</f>
        <v>31906086</v>
      </c>
      <c r="J31" s="366">
        <f>'LIBRO DE PRESUPUESTO'!J656+'LIBRO DE PRESUPUESTO'!J657</f>
        <v>4452811</v>
      </c>
      <c r="K31" s="343">
        <f t="shared" si="17"/>
        <v>0.69920955769230764</v>
      </c>
      <c r="L31" s="344">
        <f t="shared" si="20"/>
        <v>36358897</v>
      </c>
      <c r="M31" s="522">
        <f t="shared" si="14"/>
        <v>36358897</v>
      </c>
      <c r="N31" s="345">
        <f t="shared" si="21"/>
        <v>15641103</v>
      </c>
      <c r="O31" s="346">
        <f t="shared" si="24"/>
        <v>0.30079044230769231</v>
      </c>
      <c r="P31" s="344">
        <f t="shared" si="22"/>
        <v>36358897</v>
      </c>
      <c r="Q31" s="567">
        <f t="shared" si="23"/>
        <v>0</v>
      </c>
      <c r="R31" s="567">
        <f t="shared" si="13"/>
        <v>0</v>
      </c>
    </row>
    <row r="32" spans="1:18" ht="15">
      <c r="A32" s="334">
        <v>202110405</v>
      </c>
      <c r="B32" s="351" t="s">
        <v>84</v>
      </c>
      <c r="C32" s="336">
        <f>'PAC INICIAL 2020'!C69</f>
        <v>27000000</v>
      </c>
      <c r="D32" s="337"/>
      <c r="E32" s="338"/>
      <c r="F32" s="339"/>
      <c r="G32" s="347"/>
      <c r="H32" s="341">
        <f t="shared" si="19"/>
        <v>27000000</v>
      </c>
      <c r="I32" s="342">
        <f>AGOSTO!I32+AGOSTO!J32</f>
        <v>13050000</v>
      </c>
      <c r="J32" s="4">
        <f>'LIBRO DE PRESUPUESTO'!J673</f>
        <v>1892500</v>
      </c>
      <c r="K32" s="343">
        <f t="shared" si="17"/>
        <v>0.55342592592592588</v>
      </c>
      <c r="L32" s="344">
        <f t="shared" si="20"/>
        <v>14942500</v>
      </c>
      <c r="M32" s="522">
        <f t="shared" si="14"/>
        <v>14942500</v>
      </c>
      <c r="N32" s="345">
        <f t="shared" si="21"/>
        <v>12057500</v>
      </c>
      <c r="O32" s="346">
        <f t="shared" si="24"/>
        <v>0.44657407407407407</v>
      </c>
      <c r="P32" s="344">
        <f t="shared" si="22"/>
        <v>14942500</v>
      </c>
      <c r="Q32" s="567">
        <f t="shared" si="23"/>
        <v>0</v>
      </c>
      <c r="R32" s="567">
        <f t="shared" si="13"/>
        <v>0</v>
      </c>
    </row>
    <row r="33" spans="1:18" ht="15">
      <c r="A33" s="334">
        <v>202110406</v>
      </c>
      <c r="B33" s="351" t="s">
        <v>86</v>
      </c>
      <c r="C33" s="336">
        <f>'PAC INICIAL 2020'!C70</f>
        <v>23000000</v>
      </c>
      <c r="D33" s="337"/>
      <c r="E33" s="338"/>
      <c r="F33" s="339"/>
      <c r="G33" s="347"/>
      <c r="H33" s="341">
        <f t="shared" si="19"/>
        <v>23000000</v>
      </c>
      <c r="I33" s="342">
        <f>AGOSTO!I33+AGOSTO!J33</f>
        <v>9787000</v>
      </c>
      <c r="J33" s="4">
        <f>'LIBRO DE PRESUPUESTO'!J689</f>
        <v>1419300</v>
      </c>
      <c r="K33" s="343">
        <f t="shared" si="17"/>
        <v>0.48723043478260869</v>
      </c>
      <c r="L33" s="344">
        <f t="shared" si="20"/>
        <v>11206300</v>
      </c>
      <c r="M33" s="522">
        <f t="shared" si="14"/>
        <v>11206300</v>
      </c>
      <c r="N33" s="345">
        <f t="shared" si="21"/>
        <v>11793700</v>
      </c>
      <c r="O33" s="346">
        <f t="shared" si="24"/>
        <v>0.51276956521739125</v>
      </c>
      <c r="P33" s="344">
        <f t="shared" si="22"/>
        <v>11206300</v>
      </c>
      <c r="Q33" s="567">
        <f t="shared" si="23"/>
        <v>0</v>
      </c>
      <c r="R33" s="567">
        <f t="shared" si="13"/>
        <v>0</v>
      </c>
    </row>
    <row r="34" spans="1:18" ht="15">
      <c r="A34" s="334">
        <v>202110407</v>
      </c>
      <c r="B34" s="351" t="s">
        <v>88</v>
      </c>
      <c r="C34" s="336">
        <f>'PAC INICIAL 2020'!C71</f>
        <v>4000000</v>
      </c>
      <c r="D34" s="337"/>
      <c r="E34" s="338"/>
      <c r="F34" s="339"/>
      <c r="G34" s="347"/>
      <c r="H34" s="341">
        <f t="shared" si="19"/>
        <v>4000000</v>
      </c>
      <c r="I34" s="342">
        <f>AGOSTO!I34+AGOSTO!J34</f>
        <v>1635000</v>
      </c>
      <c r="J34" s="4">
        <f>'LIBRO DE PRESUPUESTO'!J705</f>
        <v>236900</v>
      </c>
      <c r="K34" s="343">
        <f t="shared" si="17"/>
        <v>0.46797499999999997</v>
      </c>
      <c r="L34" s="344">
        <f t="shared" si="20"/>
        <v>1871900</v>
      </c>
      <c r="M34" s="522">
        <f t="shared" si="14"/>
        <v>1871900</v>
      </c>
      <c r="N34" s="345">
        <f t="shared" si="21"/>
        <v>2128100</v>
      </c>
      <c r="O34" s="346">
        <f t="shared" si="24"/>
        <v>0.53202499999999997</v>
      </c>
      <c r="P34" s="344">
        <f t="shared" si="22"/>
        <v>1871900</v>
      </c>
      <c r="Q34" s="567">
        <f t="shared" si="23"/>
        <v>0</v>
      </c>
      <c r="R34" s="567">
        <f t="shared" si="13"/>
        <v>0</v>
      </c>
    </row>
    <row r="35" spans="1:18" ht="15">
      <c r="A35" s="334">
        <v>202110408</v>
      </c>
      <c r="B35" s="351" t="s">
        <v>90</v>
      </c>
      <c r="C35" s="336">
        <f>'PAC INICIAL 2020'!C72</f>
        <v>4000000</v>
      </c>
      <c r="D35" s="337"/>
      <c r="E35" s="338"/>
      <c r="F35" s="339"/>
      <c r="G35" s="347"/>
      <c r="H35" s="341">
        <f t="shared" si="19"/>
        <v>4000000</v>
      </c>
      <c r="I35" s="342">
        <f>AGOSTO!I35+AGOSTO!J35</f>
        <v>1635000</v>
      </c>
      <c r="J35" s="4">
        <f>'LIBRO DE PRESUPUESTO'!J720</f>
        <v>236900</v>
      </c>
      <c r="K35" s="343">
        <f t="shared" si="17"/>
        <v>0.46797499999999997</v>
      </c>
      <c r="L35" s="344">
        <f t="shared" si="20"/>
        <v>1871900</v>
      </c>
      <c r="M35" s="522">
        <f t="shared" si="14"/>
        <v>1871900</v>
      </c>
      <c r="N35" s="345">
        <f t="shared" si="21"/>
        <v>2128100</v>
      </c>
      <c r="O35" s="346">
        <f t="shared" si="24"/>
        <v>0.53202499999999997</v>
      </c>
      <c r="P35" s="344">
        <f t="shared" si="22"/>
        <v>1871900</v>
      </c>
      <c r="Q35" s="567">
        <f t="shared" si="23"/>
        <v>0</v>
      </c>
      <c r="R35" s="567">
        <f t="shared" si="13"/>
        <v>0</v>
      </c>
    </row>
    <row r="36" spans="1:18" ht="15">
      <c r="A36" s="334">
        <v>202110409</v>
      </c>
      <c r="B36" s="351" t="s">
        <v>92</v>
      </c>
      <c r="C36" s="336">
        <f>'PAC INICIAL 2020'!C73</f>
        <v>7200000</v>
      </c>
      <c r="D36" s="337"/>
      <c r="E36" s="338"/>
      <c r="F36" s="339"/>
      <c r="G36" s="347"/>
      <c r="H36" s="341">
        <f t="shared" si="19"/>
        <v>7200000</v>
      </c>
      <c r="I36" s="342">
        <f>AGOSTO!I36+AGOSTO!J36</f>
        <v>3264900</v>
      </c>
      <c r="J36" s="4">
        <f>'LIBRO DE PRESUPUESTO'!J740</f>
        <v>473400</v>
      </c>
      <c r="K36" s="343">
        <f t="shared" si="17"/>
        <v>0.51920833333333338</v>
      </c>
      <c r="L36" s="344">
        <f t="shared" si="20"/>
        <v>3738300</v>
      </c>
      <c r="M36" s="522">
        <f t="shared" si="14"/>
        <v>3738300</v>
      </c>
      <c r="N36" s="345">
        <f t="shared" si="21"/>
        <v>3461700</v>
      </c>
      <c r="O36" s="346">
        <f t="shared" si="24"/>
        <v>0.48079166666666667</v>
      </c>
      <c r="P36" s="344">
        <f t="shared" si="22"/>
        <v>3738300</v>
      </c>
      <c r="Q36" s="567">
        <f t="shared" si="23"/>
        <v>0</v>
      </c>
      <c r="R36" s="567">
        <f t="shared" si="13"/>
        <v>0</v>
      </c>
    </row>
    <row r="37" spans="1:18" ht="15">
      <c r="A37" s="334">
        <v>202110410</v>
      </c>
      <c r="B37" s="351" t="s">
        <v>94</v>
      </c>
      <c r="C37" s="336">
        <f>'PAC INICIAL 2020'!C74</f>
        <v>0</v>
      </c>
      <c r="D37" s="342"/>
      <c r="E37" s="338"/>
      <c r="F37" s="339"/>
      <c r="G37" s="347"/>
      <c r="H37" s="341">
        <f t="shared" si="19"/>
        <v>0</v>
      </c>
      <c r="I37" s="342">
        <f>AGOSTO!I37+AGOSTO!J37</f>
        <v>0</v>
      </c>
      <c r="J37" s="342"/>
      <c r="K37" s="343">
        <v>0</v>
      </c>
      <c r="L37" s="353">
        <f t="shared" si="20"/>
        <v>0</v>
      </c>
      <c r="M37" s="522">
        <f t="shared" si="14"/>
        <v>0</v>
      </c>
      <c r="N37" s="345">
        <f t="shared" si="21"/>
        <v>0</v>
      </c>
      <c r="O37" s="346">
        <v>0</v>
      </c>
      <c r="P37" s="344">
        <f t="shared" si="22"/>
        <v>0</v>
      </c>
      <c r="Q37" s="567">
        <f t="shared" si="23"/>
        <v>0</v>
      </c>
      <c r="R37" s="567">
        <f t="shared" si="13"/>
        <v>0</v>
      </c>
    </row>
    <row r="38" spans="1:18" s="349" customFormat="1" ht="27.75" customHeight="1">
      <c r="A38" s="327">
        <v>2021201</v>
      </c>
      <c r="B38" s="352" t="s">
        <v>31</v>
      </c>
      <c r="C38" s="329">
        <f t="shared" ref="C38:J38" si="25">SUM(C39:C42)</f>
        <v>21300000</v>
      </c>
      <c r="D38" s="329">
        <f t="shared" si="25"/>
        <v>0</v>
      </c>
      <c r="E38" s="329">
        <f t="shared" si="25"/>
        <v>0</v>
      </c>
      <c r="F38" s="329">
        <f t="shared" si="25"/>
        <v>16000000</v>
      </c>
      <c r="G38" s="329">
        <f t="shared" si="25"/>
        <v>0</v>
      </c>
      <c r="H38" s="329">
        <f t="shared" si="25"/>
        <v>37300000</v>
      </c>
      <c r="I38" s="329">
        <f t="shared" si="25"/>
        <v>25310300</v>
      </c>
      <c r="J38" s="329">
        <f t="shared" si="25"/>
        <v>0</v>
      </c>
      <c r="K38" s="330">
        <f>L38/H38</f>
        <v>0.6785603217158177</v>
      </c>
      <c r="L38" s="348">
        <f>SUM(L39:L42)</f>
        <v>25310300</v>
      </c>
      <c r="M38" s="348">
        <f>SUM(M39:M42)</f>
        <v>25310300</v>
      </c>
      <c r="N38" s="329">
        <f>SUM(N39:N42)</f>
        <v>11989700</v>
      </c>
      <c r="O38" s="332">
        <f>N38/H38</f>
        <v>0.3214396782841823</v>
      </c>
      <c r="P38" s="329">
        <f>SUM(P39:P42)</f>
        <v>14864100</v>
      </c>
      <c r="Q38" s="329">
        <f>SUM(Q39:Q42)</f>
        <v>10446200</v>
      </c>
      <c r="R38" s="329">
        <f t="shared" si="13"/>
        <v>0</v>
      </c>
    </row>
    <row r="39" spans="1:18" ht="15">
      <c r="A39" s="334">
        <v>202120101</v>
      </c>
      <c r="B39" s="351" t="s">
        <v>33</v>
      </c>
      <c r="C39" s="336">
        <f>'PAC INICIAL 2020'!C38</f>
        <v>6000000</v>
      </c>
      <c r="D39" s="342"/>
      <c r="E39" s="338"/>
      <c r="F39" s="339"/>
      <c r="G39" s="347"/>
      <c r="H39" s="341">
        <f>C39-D39+E39+F39-G39</f>
        <v>6000000</v>
      </c>
      <c r="I39" s="342">
        <f>AGOSTO!I39+AGOSTO!J39</f>
        <v>3600000</v>
      </c>
      <c r="J39" s="2">
        <v>0</v>
      </c>
      <c r="K39" s="343">
        <v>0</v>
      </c>
      <c r="L39" s="344">
        <f t="shared" si="10"/>
        <v>3600000</v>
      </c>
      <c r="M39" s="522">
        <f t="shared" si="14"/>
        <v>3600000</v>
      </c>
      <c r="N39" s="345">
        <f t="shared" si="3"/>
        <v>2400000</v>
      </c>
      <c r="O39" s="346">
        <v>0</v>
      </c>
      <c r="P39" s="344">
        <f>L39</f>
        <v>3600000</v>
      </c>
      <c r="Q39" s="567">
        <f>M39-P39</f>
        <v>0</v>
      </c>
      <c r="R39" s="567">
        <f t="shared" si="13"/>
        <v>0</v>
      </c>
    </row>
    <row r="40" spans="1:18" ht="15">
      <c r="A40" s="334">
        <v>202120102</v>
      </c>
      <c r="B40" s="354" t="s">
        <v>35</v>
      </c>
      <c r="C40" s="336">
        <f>'PAC INICIAL 2020'!C39</f>
        <v>14000000</v>
      </c>
      <c r="D40" s="342"/>
      <c r="E40" s="338"/>
      <c r="F40" s="339">
        <f>'LIBRO DE PRESUPUESTO'!G206</f>
        <v>16000000</v>
      </c>
      <c r="G40" s="347"/>
      <c r="H40" s="341">
        <f>C40-D40+E40+F40-G40</f>
        <v>30000000</v>
      </c>
      <c r="I40" s="342">
        <f>AGOSTO!I40+AGOSTO!J40</f>
        <v>21710300</v>
      </c>
      <c r="J40" s="342">
        <v>0</v>
      </c>
      <c r="K40" s="343">
        <f>L40/H40</f>
        <v>0.72367666666666663</v>
      </c>
      <c r="L40" s="344">
        <f t="shared" si="10"/>
        <v>21710300</v>
      </c>
      <c r="M40" s="522">
        <f t="shared" si="14"/>
        <v>21710300</v>
      </c>
      <c r="N40" s="345">
        <f t="shared" si="3"/>
        <v>8289700</v>
      </c>
      <c r="O40" s="355">
        <f>N40/H40</f>
        <v>0.27632333333333331</v>
      </c>
      <c r="P40" s="344">
        <f>L40-10446200</f>
        <v>11264100</v>
      </c>
      <c r="Q40" s="567">
        <f t="shared" ref="Q40:Q61" si="26">M40-P40</f>
        <v>10446200</v>
      </c>
      <c r="R40" s="567">
        <f t="shared" si="13"/>
        <v>0</v>
      </c>
    </row>
    <row r="41" spans="1:18" ht="15">
      <c r="A41" s="334">
        <v>202120104</v>
      </c>
      <c r="B41" s="351" t="s">
        <v>37</v>
      </c>
      <c r="C41" s="336">
        <f>'PAC INICIAL 2020'!C40</f>
        <v>1300000</v>
      </c>
      <c r="D41" s="342"/>
      <c r="E41" s="338"/>
      <c r="F41" s="339"/>
      <c r="G41" s="356"/>
      <c r="H41" s="341">
        <f>C41-D41+E41+F41-G41</f>
        <v>1300000</v>
      </c>
      <c r="I41" s="342">
        <f>AGOSTO!I41+AGOSTO!J41</f>
        <v>0</v>
      </c>
      <c r="J41" s="342">
        <v>0</v>
      </c>
      <c r="K41" s="343">
        <f>L41/H41</f>
        <v>0</v>
      </c>
      <c r="L41" s="344">
        <f t="shared" si="10"/>
        <v>0</v>
      </c>
      <c r="M41" s="522">
        <f t="shared" si="14"/>
        <v>0</v>
      </c>
      <c r="N41" s="345">
        <f t="shared" si="3"/>
        <v>1300000</v>
      </c>
      <c r="O41" s="355">
        <f>N41/H41</f>
        <v>1</v>
      </c>
      <c r="P41" s="344">
        <v>0</v>
      </c>
      <c r="Q41" s="567">
        <f t="shared" si="26"/>
        <v>0</v>
      </c>
      <c r="R41" s="567">
        <f t="shared" si="13"/>
        <v>0</v>
      </c>
    </row>
    <row r="42" spans="1:18" ht="15">
      <c r="A42" s="334">
        <v>202120105</v>
      </c>
      <c r="B42" s="351" t="s">
        <v>39</v>
      </c>
      <c r="C42" s="336">
        <f>'PAC INICIAL 2020'!C41</f>
        <v>0</v>
      </c>
      <c r="D42" s="342"/>
      <c r="E42" s="338"/>
      <c r="F42" s="339"/>
      <c r="G42" s="347"/>
      <c r="H42" s="341">
        <f>C42-D42+E42+F42-G42</f>
        <v>0</v>
      </c>
      <c r="I42" s="342">
        <f>AGOSTO!I42+AGOSTO!J42</f>
        <v>0</v>
      </c>
      <c r="J42" s="342">
        <v>0</v>
      </c>
      <c r="K42" s="343">
        <v>0</v>
      </c>
      <c r="L42" s="353">
        <f t="shared" si="10"/>
        <v>0</v>
      </c>
      <c r="M42" s="522">
        <f t="shared" si="14"/>
        <v>0</v>
      </c>
      <c r="N42" s="345">
        <f t="shared" si="3"/>
        <v>0</v>
      </c>
      <c r="O42" s="355">
        <v>0</v>
      </c>
      <c r="P42" s="344">
        <f>L42</f>
        <v>0</v>
      </c>
      <c r="Q42" s="567">
        <f t="shared" si="26"/>
        <v>0</v>
      </c>
      <c r="R42" s="567">
        <f t="shared" si="13"/>
        <v>0</v>
      </c>
    </row>
    <row r="43" spans="1:18" s="349" customFormat="1" ht="27.75" customHeight="1">
      <c r="A43" s="327">
        <v>2021202</v>
      </c>
      <c r="B43" s="352" t="s">
        <v>41</v>
      </c>
      <c r="C43" s="329">
        <f t="shared" ref="C43:J43" si="27">SUM(C44:C59)</f>
        <v>127719000</v>
      </c>
      <c r="D43" s="329">
        <f t="shared" si="27"/>
        <v>0</v>
      </c>
      <c r="E43" s="329">
        <f t="shared" si="27"/>
        <v>0</v>
      </c>
      <c r="F43" s="329">
        <f t="shared" si="27"/>
        <v>13500000</v>
      </c>
      <c r="G43" s="329">
        <f t="shared" si="27"/>
        <v>0</v>
      </c>
      <c r="H43" s="329">
        <f t="shared" si="27"/>
        <v>141219000</v>
      </c>
      <c r="I43" s="329">
        <f t="shared" si="27"/>
        <v>45530039</v>
      </c>
      <c r="J43" s="329">
        <f t="shared" si="27"/>
        <v>6552633</v>
      </c>
      <c r="K43" s="330">
        <f t="shared" ref="K43:K50" si="28">L43/H43</f>
        <v>0.36880782330989453</v>
      </c>
      <c r="L43" s="331">
        <f>SUM(L44:L59)</f>
        <v>52082672</v>
      </c>
      <c r="M43" s="331">
        <f>SUM(M44:M59)</f>
        <v>52082672</v>
      </c>
      <c r="N43" s="348">
        <f>SUM(N44:N59)</f>
        <v>89136328</v>
      </c>
      <c r="O43" s="332">
        <f t="shared" ref="O43:O48" si="29">N43/H43</f>
        <v>0.63119217669010541</v>
      </c>
      <c r="P43" s="348">
        <f>SUM(P44:P59)</f>
        <v>52082672</v>
      </c>
      <c r="Q43" s="348">
        <f>SUM(Q44:Q59)</f>
        <v>0</v>
      </c>
      <c r="R43" s="348">
        <f t="shared" si="13"/>
        <v>0</v>
      </c>
    </row>
    <row r="44" spans="1:18" ht="15.75">
      <c r="A44" s="334">
        <v>202120201</v>
      </c>
      <c r="B44" s="351" t="s">
        <v>43</v>
      </c>
      <c r="C44" s="336">
        <f>'PAC INICIAL 2020'!C43</f>
        <v>9000000</v>
      </c>
      <c r="D44" s="342"/>
      <c r="E44" s="338"/>
      <c r="F44" s="339">
        <f>'LIBRO DE PRESUPUESTO'!G227</f>
        <v>10000000</v>
      </c>
      <c r="G44" s="347"/>
      <c r="H44" s="341">
        <f t="shared" ref="H44:H58" si="30">C44-D44+E44+F44-G44</f>
        <v>19000000</v>
      </c>
      <c r="I44" s="342">
        <f>AGOSTO!I44+AGOSTO!J44</f>
        <v>8695500</v>
      </c>
      <c r="J44" s="342">
        <v>0</v>
      </c>
      <c r="K44" s="343">
        <f t="shared" si="28"/>
        <v>0.4576578947368421</v>
      </c>
      <c r="L44" s="344">
        <f t="shared" si="10"/>
        <v>8695500</v>
      </c>
      <c r="M44" s="584">
        <f t="shared" si="14"/>
        <v>8695500</v>
      </c>
      <c r="N44" s="580">
        <f t="shared" si="3"/>
        <v>10304500</v>
      </c>
      <c r="O44" s="581">
        <f t="shared" si="29"/>
        <v>0.54234210526315785</v>
      </c>
      <c r="P44" s="344">
        <f>L44</f>
        <v>8695500</v>
      </c>
      <c r="Q44" s="567">
        <f t="shared" si="26"/>
        <v>0</v>
      </c>
      <c r="R44" s="582">
        <f>SUM(R45:R48)</f>
        <v>0</v>
      </c>
    </row>
    <row r="45" spans="1:18" ht="15">
      <c r="A45" s="334">
        <v>202120202</v>
      </c>
      <c r="B45" s="351" t="s">
        <v>44</v>
      </c>
      <c r="C45" s="336">
        <f>'PAC INICIAL 2020'!C44</f>
        <v>52500000</v>
      </c>
      <c r="D45" s="342"/>
      <c r="E45" s="338"/>
      <c r="F45" s="339"/>
      <c r="G45" s="347"/>
      <c r="H45" s="341">
        <f t="shared" si="30"/>
        <v>52500000</v>
      </c>
      <c r="I45" s="342">
        <f>AGOSTO!I45+AGOSTO!J45</f>
        <v>21541620</v>
      </c>
      <c r="J45" s="342">
        <f>'LIBRO DE PRESUPUESTO'!J278+'LIBRO DE PRESUPUESTO'!J279</f>
        <v>3998305</v>
      </c>
      <c r="K45" s="343">
        <f t="shared" si="28"/>
        <v>0.48647476190476191</v>
      </c>
      <c r="L45" s="344">
        <f t="shared" si="10"/>
        <v>25539925</v>
      </c>
      <c r="M45" s="522">
        <f t="shared" si="14"/>
        <v>25539925</v>
      </c>
      <c r="N45" s="345">
        <f t="shared" si="3"/>
        <v>26960075</v>
      </c>
      <c r="O45" s="355">
        <f t="shared" si="29"/>
        <v>0.51352523809523809</v>
      </c>
      <c r="P45" s="344">
        <f t="shared" ref="P45:P61" si="31">L45</f>
        <v>25539925</v>
      </c>
      <c r="Q45" s="567">
        <f t="shared" si="26"/>
        <v>0</v>
      </c>
      <c r="R45" s="567">
        <f t="shared" si="13"/>
        <v>0</v>
      </c>
    </row>
    <row r="46" spans="1:18" ht="15">
      <c r="A46" s="334">
        <v>202120203</v>
      </c>
      <c r="B46" s="351" t="s">
        <v>46</v>
      </c>
      <c r="C46" s="336">
        <f>'PAC INICIAL 2020'!C45</f>
        <v>2000000</v>
      </c>
      <c r="D46" s="342"/>
      <c r="E46" s="338"/>
      <c r="F46" s="339"/>
      <c r="G46" s="347"/>
      <c r="H46" s="341">
        <f t="shared" si="30"/>
        <v>2000000</v>
      </c>
      <c r="I46" s="342">
        <f>AGOSTO!I46+AGOSTO!J46</f>
        <v>915600</v>
      </c>
      <c r="J46" s="4">
        <v>0</v>
      </c>
      <c r="K46" s="343">
        <f t="shared" si="28"/>
        <v>0.45779999999999998</v>
      </c>
      <c r="L46" s="344">
        <f t="shared" si="10"/>
        <v>915600</v>
      </c>
      <c r="M46" s="522">
        <f t="shared" si="14"/>
        <v>915600</v>
      </c>
      <c r="N46" s="345">
        <f t="shared" si="3"/>
        <v>1084400</v>
      </c>
      <c r="O46" s="355">
        <f t="shared" si="29"/>
        <v>0.54220000000000002</v>
      </c>
      <c r="P46" s="344">
        <f t="shared" si="31"/>
        <v>915600</v>
      </c>
      <c r="Q46" s="567">
        <f t="shared" si="26"/>
        <v>0</v>
      </c>
      <c r="R46" s="567">
        <f t="shared" si="13"/>
        <v>0</v>
      </c>
    </row>
    <row r="47" spans="1:18" ht="15">
      <c r="A47" s="334">
        <v>202120204</v>
      </c>
      <c r="B47" s="351" t="s">
        <v>48</v>
      </c>
      <c r="C47" s="336">
        <f>'PAC INICIAL 2020'!C46</f>
        <v>11619000</v>
      </c>
      <c r="D47" s="342"/>
      <c r="E47" s="338"/>
      <c r="F47" s="339"/>
      <c r="G47" s="347"/>
      <c r="H47" s="341">
        <f t="shared" si="30"/>
        <v>11619000</v>
      </c>
      <c r="I47" s="342">
        <f>AGOSTO!I47+AGOSTO!J47</f>
        <v>5839500</v>
      </c>
      <c r="J47" s="4">
        <f>'LIBRO DE PRESUPUESTO'!J410</f>
        <v>695600</v>
      </c>
      <c r="K47" s="343">
        <f t="shared" si="28"/>
        <v>0.56244943626818145</v>
      </c>
      <c r="L47" s="344">
        <f t="shared" si="10"/>
        <v>6535100</v>
      </c>
      <c r="M47" s="522">
        <f t="shared" si="14"/>
        <v>6535100</v>
      </c>
      <c r="N47" s="345">
        <f t="shared" si="3"/>
        <v>5083900</v>
      </c>
      <c r="O47" s="346">
        <f t="shared" si="29"/>
        <v>0.43755056373181855</v>
      </c>
      <c r="P47" s="344">
        <f t="shared" si="31"/>
        <v>6535100</v>
      </c>
      <c r="Q47" s="567">
        <f t="shared" si="26"/>
        <v>0</v>
      </c>
      <c r="R47" s="567">
        <f t="shared" si="13"/>
        <v>0</v>
      </c>
    </row>
    <row r="48" spans="1:18" ht="15">
      <c r="A48" s="334">
        <v>202120205</v>
      </c>
      <c r="B48" s="351" t="s">
        <v>50</v>
      </c>
      <c r="C48" s="336">
        <f>'PAC INICIAL 2020'!C47</f>
        <v>8000000</v>
      </c>
      <c r="D48" s="342"/>
      <c r="E48" s="338"/>
      <c r="F48" s="339"/>
      <c r="G48" s="347"/>
      <c r="H48" s="341">
        <f t="shared" si="30"/>
        <v>8000000</v>
      </c>
      <c r="I48" s="342">
        <f>AGOSTO!I48+AGOSTO!J48</f>
        <v>2569856</v>
      </c>
      <c r="J48" s="4">
        <f>'LIBRO DE PRESUPUESTO'!J433+'LIBRO DE PRESUPUESTO'!J434</f>
        <v>342238</v>
      </c>
      <c r="K48" s="343">
        <f t="shared" si="28"/>
        <v>0.36401175000000002</v>
      </c>
      <c r="L48" s="344">
        <f t="shared" si="10"/>
        <v>2912094</v>
      </c>
      <c r="M48" s="522">
        <f t="shared" si="14"/>
        <v>2912094</v>
      </c>
      <c r="N48" s="345">
        <f t="shared" si="3"/>
        <v>5087906</v>
      </c>
      <c r="O48" s="346">
        <f t="shared" si="29"/>
        <v>0.63598825000000003</v>
      </c>
      <c r="P48" s="344">
        <f t="shared" si="31"/>
        <v>2912094</v>
      </c>
      <c r="Q48" s="567">
        <f t="shared" si="26"/>
        <v>0</v>
      </c>
      <c r="R48" s="567">
        <f t="shared" si="13"/>
        <v>0</v>
      </c>
    </row>
    <row r="49" spans="1:18" ht="15.75">
      <c r="A49" s="334">
        <v>202120206</v>
      </c>
      <c r="B49" s="351" t="s">
        <v>52</v>
      </c>
      <c r="C49" s="336">
        <f>'PAC INICIAL 2020'!C48</f>
        <v>2500000</v>
      </c>
      <c r="D49" s="342"/>
      <c r="E49" s="338"/>
      <c r="F49" s="339"/>
      <c r="G49" s="347"/>
      <c r="H49" s="341">
        <f t="shared" si="30"/>
        <v>2500000</v>
      </c>
      <c r="I49" s="342">
        <f>AGOSTO!I49+AGOSTO!J49</f>
        <v>656430</v>
      </c>
      <c r="J49" s="2">
        <f>+'LIBRO DE PRESUPUESTO'!J468+'LIBRO DE PRESUPUESTO'!J469+'LIBRO DE PRESUPUESTO'!J470</f>
        <v>207490</v>
      </c>
      <c r="K49" s="343">
        <f t="shared" si="28"/>
        <v>0.34556799999999999</v>
      </c>
      <c r="L49" s="344">
        <f t="shared" si="10"/>
        <v>863920</v>
      </c>
      <c r="M49" s="584">
        <f t="shared" si="14"/>
        <v>863920</v>
      </c>
      <c r="N49" s="345">
        <f t="shared" si="3"/>
        <v>1636080</v>
      </c>
      <c r="O49" s="346">
        <v>0</v>
      </c>
      <c r="P49" s="344">
        <f t="shared" si="31"/>
        <v>863920</v>
      </c>
      <c r="Q49" s="567">
        <f t="shared" si="26"/>
        <v>0</v>
      </c>
      <c r="R49" s="579">
        <f>SUM(R50:R59)</f>
        <v>0</v>
      </c>
    </row>
    <row r="50" spans="1:18" ht="15">
      <c r="A50" s="334">
        <v>202120207</v>
      </c>
      <c r="B50" s="354" t="s">
        <v>54</v>
      </c>
      <c r="C50" s="336">
        <f>'PAC INICIAL 2020'!C49</f>
        <v>1500000</v>
      </c>
      <c r="D50" s="342"/>
      <c r="E50" s="338"/>
      <c r="F50" s="339"/>
      <c r="G50" s="347"/>
      <c r="H50" s="341">
        <f t="shared" si="30"/>
        <v>1500000</v>
      </c>
      <c r="I50" s="342">
        <f>AGOSTO!I50+AGOSTO!J50</f>
        <v>200000</v>
      </c>
      <c r="J50" s="342">
        <v>0</v>
      </c>
      <c r="K50" s="343">
        <f t="shared" si="28"/>
        <v>0.13333333333333333</v>
      </c>
      <c r="L50" s="344">
        <f t="shared" si="10"/>
        <v>200000</v>
      </c>
      <c r="M50" s="522">
        <f t="shared" si="14"/>
        <v>200000</v>
      </c>
      <c r="N50" s="345">
        <f t="shared" si="3"/>
        <v>1300000</v>
      </c>
      <c r="O50" s="346">
        <f>N50/H50</f>
        <v>0.8666666666666667</v>
      </c>
      <c r="P50" s="344">
        <f t="shared" si="31"/>
        <v>200000</v>
      </c>
      <c r="Q50" s="567">
        <f t="shared" si="26"/>
        <v>0</v>
      </c>
      <c r="R50" s="567">
        <f t="shared" si="13"/>
        <v>0</v>
      </c>
    </row>
    <row r="51" spans="1:18" ht="15">
      <c r="A51" s="334">
        <v>202120208</v>
      </c>
      <c r="B51" s="351" t="s">
        <v>56</v>
      </c>
      <c r="C51" s="336">
        <f>'PAC INICIAL 2020'!C50</f>
        <v>0</v>
      </c>
      <c r="D51" s="342"/>
      <c r="E51" s="338"/>
      <c r="F51" s="357"/>
      <c r="G51" s="347"/>
      <c r="H51" s="341">
        <f t="shared" si="30"/>
        <v>0</v>
      </c>
      <c r="I51" s="342">
        <f>AGOSTO!I51+AGOSTO!J51</f>
        <v>0</v>
      </c>
      <c r="J51" s="342">
        <v>0</v>
      </c>
      <c r="K51" s="343">
        <v>0</v>
      </c>
      <c r="L51" s="344">
        <f t="shared" si="10"/>
        <v>0</v>
      </c>
      <c r="M51" s="522">
        <f t="shared" si="14"/>
        <v>0</v>
      </c>
      <c r="N51" s="345">
        <f t="shared" si="3"/>
        <v>0</v>
      </c>
      <c r="O51" s="346">
        <v>0</v>
      </c>
      <c r="P51" s="344">
        <f t="shared" si="31"/>
        <v>0</v>
      </c>
      <c r="Q51" s="567">
        <f t="shared" si="26"/>
        <v>0</v>
      </c>
      <c r="R51" s="567">
        <f t="shared" si="13"/>
        <v>0</v>
      </c>
    </row>
    <row r="52" spans="1:18" ht="15">
      <c r="A52" s="334">
        <v>202120209</v>
      </c>
      <c r="B52" s="351" t="s">
        <v>58</v>
      </c>
      <c r="C52" s="336">
        <f>'PAC INICIAL 2020'!C51</f>
        <v>9400000</v>
      </c>
      <c r="D52" s="342"/>
      <c r="E52" s="338"/>
      <c r="F52" s="339"/>
      <c r="G52" s="347"/>
      <c r="H52" s="341">
        <f t="shared" si="30"/>
        <v>9400000</v>
      </c>
      <c r="I52" s="342">
        <f>AGOSTO!I52+AGOSTO!J52</f>
        <v>2481533</v>
      </c>
      <c r="J52" s="6">
        <v>0</v>
      </c>
      <c r="K52" s="343">
        <f>L52/H52</f>
        <v>0.26399287234042551</v>
      </c>
      <c r="L52" s="344">
        <f t="shared" si="10"/>
        <v>2481533</v>
      </c>
      <c r="M52" s="522">
        <f t="shared" si="14"/>
        <v>2481533</v>
      </c>
      <c r="N52" s="345">
        <f t="shared" si="3"/>
        <v>6918467</v>
      </c>
      <c r="O52" s="346">
        <f>N52/H52</f>
        <v>0.73600712765957443</v>
      </c>
      <c r="P52" s="344">
        <f>L52</f>
        <v>2481533</v>
      </c>
      <c r="Q52" s="567">
        <f t="shared" si="26"/>
        <v>0</v>
      </c>
      <c r="R52" s="567">
        <f t="shared" si="13"/>
        <v>0</v>
      </c>
    </row>
    <row r="53" spans="1:18" ht="15">
      <c r="A53" s="334">
        <v>202120210</v>
      </c>
      <c r="B53" s="354" t="s">
        <v>60</v>
      </c>
      <c r="C53" s="336">
        <f>'PAC INICIAL 2020'!C52</f>
        <v>10000000</v>
      </c>
      <c r="D53" s="342"/>
      <c r="E53" s="338"/>
      <c r="F53" s="339"/>
      <c r="G53" s="347"/>
      <c r="H53" s="341">
        <f t="shared" si="30"/>
        <v>10000000</v>
      </c>
      <c r="I53" s="342">
        <f>AGOSTO!I53+AGOSTO!J53</f>
        <v>1500000</v>
      </c>
      <c r="J53" s="6">
        <v>0</v>
      </c>
      <c r="K53" s="343">
        <f>L53/H53</f>
        <v>0.15</v>
      </c>
      <c r="L53" s="344">
        <f t="shared" si="10"/>
        <v>1500000</v>
      </c>
      <c r="M53" s="522">
        <f t="shared" si="14"/>
        <v>1500000</v>
      </c>
      <c r="N53" s="345">
        <f t="shared" si="3"/>
        <v>8500000</v>
      </c>
      <c r="O53" s="346">
        <f>N53/H53</f>
        <v>0.85</v>
      </c>
      <c r="P53" s="344">
        <f t="shared" si="31"/>
        <v>1500000</v>
      </c>
      <c r="Q53" s="567">
        <f t="shared" si="26"/>
        <v>0</v>
      </c>
      <c r="R53" s="567">
        <f t="shared" si="13"/>
        <v>0</v>
      </c>
    </row>
    <row r="54" spans="1:18" ht="15">
      <c r="A54" s="334">
        <v>202120211</v>
      </c>
      <c r="B54" s="351" t="s">
        <v>62</v>
      </c>
      <c r="C54" s="336">
        <f>'PAC INICIAL 2020'!C53</f>
        <v>4000000</v>
      </c>
      <c r="D54" s="342"/>
      <c r="E54" s="338"/>
      <c r="F54" s="339"/>
      <c r="G54" s="347"/>
      <c r="H54" s="341">
        <f t="shared" si="30"/>
        <v>4000000</v>
      </c>
      <c r="I54" s="342">
        <f>AGOSTO!I54+AGOSTO!J54</f>
        <v>1130000</v>
      </c>
      <c r="J54" s="6">
        <f>'LIBRO DE PRESUPUESTO'!J519</f>
        <v>1309000</v>
      </c>
      <c r="K54" s="343">
        <v>0</v>
      </c>
      <c r="L54" s="344">
        <f t="shared" si="10"/>
        <v>2439000</v>
      </c>
      <c r="M54" s="522">
        <f t="shared" si="14"/>
        <v>2439000</v>
      </c>
      <c r="N54" s="345">
        <f t="shared" si="3"/>
        <v>1561000</v>
      </c>
      <c r="O54" s="346">
        <v>0</v>
      </c>
      <c r="P54" s="344">
        <f t="shared" si="31"/>
        <v>2439000</v>
      </c>
      <c r="Q54" s="567">
        <f t="shared" si="26"/>
        <v>0</v>
      </c>
      <c r="R54" s="567">
        <f t="shared" si="13"/>
        <v>0</v>
      </c>
    </row>
    <row r="55" spans="1:18" ht="15">
      <c r="A55" s="334">
        <v>202120212</v>
      </c>
      <c r="B55" s="351" t="s">
        <v>64</v>
      </c>
      <c r="C55" s="336">
        <f>'PAC INICIAL 2020'!C54</f>
        <v>15000000</v>
      </c>
      <c r="D55" s="342"/>
      <c r="E55" s="338"/>
      <c r="F55" s="339"/>
      <c r="G55" s="347"/>
      <c r="H55" s="341">
        <f t="shared" si="30"/>
        <v>15000000</v>
      </c>
      <c r="I55" s="342">
        <f>AGOSTO!I55+AGOSTO!J55</f>
        <v>0</v>
      </c>
      <c r="J55" s="342">
        <v>0</v>
      </c>
      <c r="K55" s="343">
        <v>0</v>
      </c>
      <c r="L55" s="344">
        <f t="shared" si="10"/>
        <v>0</v>
      </c>
      <c r="M55" s="522">
        <f t="shared" si="14"/>
        <v>0</v>
      </c>
      <c r="N55" s="345">
        <f t="shared" si="3"/>
        <v>15000000</v>
      </c>
      <c r="O55" s="346">
        <v>0</v>
      </c>
      <c r="P55" s="344">
        <f t="shared" si="31"/>
        <v>0</v>
      </c>
      <c r="Q55" s="567">
        <f t="shared" si="26"/>
        <v>0</v>
      </c>
      <c r="R55" s="567">
        <f t="shared" si="13"/>
        <v>0</v>
      </c>
    </row>
    <row r="56" spans="1:18" ht="15">
      <c r="A56" s="334">
        <v>202120213</v>
      </c>
      <c r="B56" s="351" t="s">
        <v>65</v>
      </c>
      <c r="C56" s="336">
        <f>'PAC INICIAL 2020'!C55</f>
        <v>0</v>
      </c>
      <c r="D56" s="342"/>
      <c r="E56" s="338"/>
      <c r="F56" s="339"/>
      <c r="G56" s="347"/>
      <c r="H56" s="341">
        <f t="shared" si="30"/>
        <v>0</v>
      </c>
      <c r="I56" s="342">
        <f>AGOSTO!I56+AGOSTO!J56</f>
        <v>0</v>
      </c>
      <c r="J56" s="342">
        <v>0</v>
      </c>
      <c r="K56" s="343">
        <v>0</v>
      </c>
      <c r="L56" s="344">
        <f t="shared" si="10"/>
        <v>0</v>
      </c>
      <c r="M56" s="522">
        <f t="shared" si="14"/>
        <v>0</v>
      </c>
      <c r="N56" s="345">
        <f t="shared" si="3"/>
        <v>0</v>
      </c>
      <c r="O56" s="346">
        <v>0</v>
      </c>
      <c r="P56" s="344">
        <f t="shared" si="31"/>
        <v>0</v>
      </c>
      <c r="Q56" s="567">
        <f t="shared" si="26"/>
        <v>0</v>
      </c>
      <c r="R56" s="567">
        <f t="shared" si="13"/>
        <v>0</v>
      </c>
    </row>
    <row r="57" spans="1:18" ht="15">
      <c r="A57" s="334">
        <v>202120214</v>
      </c>
      <c r="B57" s="351" t="s">
        <v>67</v>
      </c>
      <c r="C57" s="336">
        <f>'PAC INICIAL 2020'!C56</f>
        <v>0</v>
      </c>
      <c r="D57" s="342"/>
      <c r="E57" s="338"/>
      <c r="F57" s="339">
        <f>'LIBRO DE PRESUPUESTO'!G536</f>
        <v>3500000</v>
      </c>
      <c r="G57" s="347"/>
      <c r="H57" s="341">
        <f t="shared" si="30"/>
        <v>3500000</v>
      </c>
      <c r="I57" s="342">
        <f>AGOSTO!I57+AGOSTO!J57</f>
        <v>0</v>
      </c>
      <c r="J57" s="342">
        <v>0</v>
      </c>
      <c r="K57" s="343">
        <v>0</v>
      </c>
      <c r="L57" s="344">
        <f t="shared" si="10"/>
        <v>0</v>
      </c>
      <c r="M57" s="522">
        <f t="shared" si="14"/>
        <v>0</v>
      </c>
      <c r="N57" s="345">
        <f t="shared" si="3"/>
        <v>3500000</v>
      </c>
      <c r="O57" s="346">
        <v>0</v>
      </c>
      <c r="P57" s="344">
        <f t="shared" si="31"/>
        <v>0</v>
      </c>
      <c r="Q57" s="567">
        <f t="shared" si="26"/>
        <v>0</v>
      </c>
      <c r="R57" s="567">
        <f t="shared" si="13"/>
        <v>0</v>
      </c>
    </row>
    <row r="58" spans="1:18" ht="15">
      <c r="A58" s="358">
        <v>202120215</v>
      </c>
      <c r="B58" s="351" t="s">
        <v>97</v>
      </c>
      <c r="C58" s="336">
        <f>'PAC INICIAL 2020'!C57</f>
        <v>1200000</v>
      </c>
      <c r="D58" s="342"/>
      <c r="E58" s="338"/>
      <c r="F58" s="339"/>
      <c r="G58" s="347"/>
      <c r="H58" s="341">
        <f t="shared" si="30"/>
        <v>1200000</v>
      </c>
      <c r="I58" s="342">
        <f>AGOSTO!I58+AGOSTO!J58</f>
        <v>0</v>
      </c>
      <c r="J58" s="342">
        <v>0</v>
      </c>
      <c r="K58" s="343">
        <f>L58/H58</f>
        <v>0</v>
      </c>
      <c r="L58" s="344">
        <f t="shared" si="10"/>
        <v>0</v>
      </c>
      <c r="M58" s="522">
        <f t="shared" si="14"/>
        <v>0</v>
      </c>
      <c r="N58" s="345">
        <f t="shared" si="3"/>
        <v>1200000</v>
      </c>
      <c r="O58" s="346">
        <f>N58/H58</f>
        <v>1</v>
      </c>
      <c r="P58" s="344">
        <f t="shared" si="31"/>
        <v>0</v>
      </c>
      <c r="Q58" s="567">
        <f t="shared" si="26"/>
        <v>0</v>
      </c>
      <c r="R58" s="567">
        <f t="shared" si="13"/>
        <v>0</v>
      </c>
    </row>
    <row r="59" spans="1:18" ht="15">
      <c r="A59" s="358">
        <v>202120216</v>
      </c>
      <c r="B59" s="351" t="s">
        <v>148</v>
      </c>
      <c r="C59" s="336">
        <f>'PAC INICIAL 2020'!C58</f>
        <v>1000000</v>
      </c>
      <c r="D59" s="342"/>
      <c r="E59" s="338"/>
      <c r="F59" s="339"/>
      <c r="G59" s="347"/>
      <c r="H59" s="341">
        <f>C59-D59+E59+F59-G59</f>
        <v>1000000</v>
      </c>
      <c r="I59" s="342">
        <f>AGOSTO!I59+AGOSTO!J59</f>
        <v>0</v>
      </c>
      <c r="J59" s="342">
        <v>0</v>
      </c>
      <c r="K59" s="343">
        <f>L59/H59</f>
        <v>0</v>
      </c>
      <c r="L59" s="344">
        <f t="shared" si="10"/>
        <v>0</v>
      </c>
      <c r="M59" s="522">
        <f t="shared" si="14"/>
        <v>0</v>
      </c>
      <c r="N59" s="345">
        <f>H59-L59</f>
        <v>1000000</v>
      </c>
      <c r="O59" s="346">
        <f>N59/H59</f>
        <v>1</v>
      </c>
      <c r="P59" s="344">
        <f t="shared" si="31"/>
        <v>0</v>
      </c>
      <c r="Q59" s="567">
        <f t="shared" si="26"/>
        <v>0</v>
      </c>
      <c r="R59" s="567">
        <f t="shared" si="13"/>
        <v>0</v>
      </c>
    </row>
    <row r="60" spans="1:18" ht="27" customHeight="1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0</v>
      </c>
      <c r="H60" s="329">
        <f>SUM(H61:H61)</f>
        <v>75000000</v>
      </c>
      <c r="I60" s="329">
        <f>SUM(I61:I61)</f>
        <v>62645000</v>
      </c>
      <c r="J60" s="329">
        <f>SUM(J61:J61)</f>
        <v>0</v>
      </c>
      <c r="K60" s="330">
        <f>K61</f>
        <v>1</v>
      </c>
      <c r="L60" s="331">
        <f>L61</f>
        <v>62645000</v>
      </c>
      <c r="M60" s="348">
        <f t="shared" si="14"/>
        <v>62645000</v>
      </c>
      <c r="N60" s="348">
        <f>SUM(N61:N61)</f>
        <v>12355000</v>
      </c>
      <c r="O60" s="332">
        <v>0</v>
      </c>
      <c r="P60" s="329">
        <f>SUM(P61:P61)</f>
        <v>62645000</v>
      </c>
      <c r="Q60" s="329">
        <f>SUM(Q61:Q61)</f>
        <v>0</v>
      </c>
      <c r="R60" s="329">
        <f>SUM(R61:R61)</f>
        <v>0</v>
      </c>
    </row>
    <row r="61" spans="1:18" ht="15">
      <c r="A61" s="368">
        <v>202130101</v>
      </c>
      <c r="B61" s="369" t="s">
        <v>96</v>
      </c>
      <c r="C61" s="336">
        <f>'PAC INICIAL 2020'!C76</f>
        <v>75000000</v>
      </c>
      <c r="D61" s="370">
        <v>0</v>
      </c>
      <c r="E61" s="371"/>
      <c r="F61" s="372"/>
      <c r="G61" s="373"/>
      <c r="H61" s="341">
        <f>C61-D61+E61+F61-G61</f>
        <v>75000000</v>
      </c>
      <c r="I61" s="342">
        <f>AGOSTO!I61+AGOSTO!J61</f>
        <v>62645000</v>
      </c>
      <c r="J61" s="370">
        <v>0</v>
      </c>
      <c r="K61" s="343">
        <v>1</v>
      </c>
      <c r="L61" s="344">
        <f>J61+I61</f>
        <v>62645000</v>
      </c>
      <c r="M61" s="522">
        <f t="shared" si="14"/>
        <v>62645000</v>
      </c>
      <c r="N61" s="345">
        <f t="shared" si="3"/>
        <v>12355000</v>
      </c>
      <c r="O61" s="346">
        <v>0</v>
      </c>
      <c r="P61" s="344">
        <f t="shared" si="31"/>
        <v>62645000</v>
      </c>
      <c r="Q61" s="567">
        <f t="shared" si="26"/>
        <v>0</v>
      </c>
      <c r="R61" s="344"/>
    </row>
    <row r="62" spans="1:18" s="380" customFormat="1" ht="31.5" customHeight="1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167244166</v>
      </c>
      <c r="F62" s="377">
        <f>F8+F18+F38+F43++F22+F27+F60</f>
        <v>121000000</v>
      </c>
      <c r="G62" s="377">
        <f>G8+G18+G38+G43+G22+G27+G60</f>
        <v>121000000</v>
      </c>
      <c r="H62" s="377">
        <f>H8+H18+H38+H43+H22+H27+H60</f>
        <v>1322370231</v>
      </c>
      <c r="I62" s="377">
        <f>I8+I18+I38+I43+I22+I27+I60</f>
        <v>702783640.44652772</v>
      </c>
      <c r="J62" s="377">
        <f>J8+J18+J38+J43+J22+J27+J60</f>
        <v>64383509</v>
      </c>
      <c r="K62" s="378">
        <f>L62/H62</f>
        <v>0.5801455080143344</v>
      </c>
      <c r="L62" s="377">
        <f>L8+L18+L38+L43+L22+L27+L60</f>
        <v>767167149.44652772</v>
      </c>
      <c r="M62" s="377">
        <f>M8+M18+M38+M43+M22+M27+M60</f>
        <v>767167149.44652772</v>
      </c>
      <c r="N62" s="377">
        <f>N8+N18+N38+N43+N22+N27+N60</f>
        <v>555203081.55347228</v>
      </c>
      <c r="O62" s="379">
        <f>N62/H62</f>
        <v>0.4198544919856656</v>
      </c>
      <c r="P62" s="377">
        <f>P8+P18+P38+P43+P22+P27+P60</f>
        <v>728220949.44652772</v>
      </c>
      <c r="Q62" s="568">
        <f>Q9+Q18+Q22+Q27+Q44+Q49+Q60</f>
        <v>28500000</v>
      </c>
      <c r="R62" s="377">
        <f>R9+R18+R22+R27+R44+R49+R60</f>
        <v>0</v>
      </c>
    </row>
    <row r="63" spans="1:18" ht="35.25" customHeight="1">
      <c r="A63" s="621" t="s">
        <v>172</v>
      </c>
      <c r="B63" s="683" t="s">
        <v>173</v>
      </c>
      <c r="C63" s="684"/>
      <c r="D63" s="684"/>
      <c r="E63" s="684"/>
      <c r="F63" s="684"/>
      <c r="G63" s="684"/>
      <c r="H63" s="684"/>
      <c r="I63" s="684"/>
      <c r="J63" s="684"/>
      <c r="K63" s="684"/>
      <c r="L63" s="684"/>
      <c r="M63" s="684"/>
      <c r="N63" s="684"/>
      <c r="O63" s="685"/>
      <c r="P63" s="381"/>
      <c r="Q63" s="381"/>
      <c r="R63" s="381"/>
    </row>
    <row r="65" spans="4:14">
      <c r="D65" s="382"/>
      <c r="E65" s="382"/>
      <c r="F65" s="382"/>
      <c r="G65" s="382"/>
      <c r="N65" s="382"/>
    </row>
    <row r="66" spans="4:14">
      <c r="G66" s="382"/>
      <c r="I66" s="382"/>
      <c r="J66" s="385"/>
      <c r="N66" s="382"/>
    </row>
    <row r="67" spans="4:14">
      <c r="D67" s="382"/>
      <c r="J67" s="382"/>
      <c r="K67" s="382"/>
      <c r="N67" s="382"/>
    </row>
    <row r="68" spans="4:14">
      <c r="H68" s="382"/>
      <c r="J68" s="382"/>
      <c r="N68" s="382"/>
    </row>
    <row r="69" spans="4:14">
      <c r="H69" s="382"/>
      <c r="J69" s="382"/>
    </row>
  </sheetData>
  <mergeCells count="5">
    <mergeCell ref="A1:O1"/>
    <mergeCell ref="A2:O2"/>
    <mergeCell ref="A3:O3"/>
    <mergeCell ref="K5:K6"/>
    <mergeCell ref="B63:O63"/>
  </mergeCells>
  <printOptions horizontalCentered="1" verticalCentered="1"/>
  <pageMargins left="0.23622047244094491" right="0.23622047244094491" top="0.39370078740157483" bottom="0.39370078740157483" header="0" footer="0"/>
  <pageSetup paperSize="14" scale="5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zoomScale="80" zoomScaleNormal="80" zoomScaleSheetLayoutView="80" workbookViewId="0">
      <pane xSplit="2" ySplit="7" topLeftCell="C29" activePane="bottomRight" state="frozen"/>
      <selection activeCell="J228" sqref="J228"/>
      <selection pane="topRight" activeCell="J228" sqref="J228"/>
      <selection pane="bottomLeft" activeCell="J228" sqref="J228"/>
      <selection pane="bottomRight" activeCell="J228" sqref="J228"/>
    </sheetView>
  </sheetViews>
  <sheetFormatPr baseColWidth="10" defaultRowHeight="14.25"/>
  <cols>
    <col min="1" max="1" width="16" style="383" customWidth="1"/>
    <col min="2" max="2" width="35.25" style="1" customWidth="1"/>
    <col min="3" max="3" width="18.125" style="1" bestFit="1" customWidth="1"/>
    <col min="4" max="4" width="13.5" style="1" bestFit="1" customWidth="1"/>
    <col min="5" max="6" width="14.75" style="1" bestFit="1" customWidth="1"/>
    <col min="7" max="7" width="15.125" style="1" bestFit="1" customWidth="1"/>
    <col min="8" max="8" width="17.875" style="1" bestFit="1" customWidth="1"/>
    <col min="9" max="9" width="17.125" style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5.75" style="384" customWidth="1"/>
    <col min="14" max="14" width="16.875" style="1" bestFit="1" customWidth="1"/>
    <col min="15" max="15" width="8.5" style="1" customWidth="1"/>
    <col min="16" max="16" width="16.5" style="1" hidden="1" customWidth="1"/>
    <col min="17" max="17" width="20.625" style="1" hidden="1" customWidth="1"/>
    <col min="18" max="18" width="14.875" style="1" hidden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>
      <c r="A1" s="679" t="s">
        <v>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17"/>
      <c r="Q1" s="617"/>
      <c r="R1" s="617"/>
    </row>
    <row r="2" spans="1:18" ht="18">
      <c r="A2" s="680" t="s">
        <v>156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18"/>
      <c r="Q2" s="618"/>
      <c r="R2" s="618"/>
    </row>
    <row r="3" spans="1:18" ht="18">
      <c r="A3" s="680" t="s">
        <v>285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18"/>
      <c r="Q3" s="618"/>
      <c r="R3" s="618"/>
    </row>
    <row r="4" spans="1:18" ht="18.75" thickBot="1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2"/>
      <c r="N4" s="300"/>
      <c r="O4" s="303"/>
    </row>
    <row r="5" spans="1:18" s="537" customFormat="1" ht="23.25" customHeight="1">
      <c r="A5" s="569" t="s">
        <v>157</v>
      </c>
      <c r="B5" s="570" t="s">
        <v>1</v>
      </c>
      <c r="C5" s="619" t="s">
        <v>254</v>
      </c>
      <c r="D5" s="533" t="s">
        <v>159</v>
      </c>
      <c r="E5" s="620" t="s">
        <v>160</v>
      </c>
      <c r="F5" s="620" t="s">
        <v>2</v>
      </c>
      <c r="G5" s="619" t="s">
        <v>161</v>
      </c>
      <c r="H5" s="533" t="s">
        <v>162</v>
      </c>
      <c r="I5" s="620" t="s">
        <v>207</v>
      </c>
      <c r="J5" s="619" t="s">
        <v>164</v>
      </c>
      <c r="K5" s="681" t="s">
        <v>165</v>
      </c>
      <c r="L5" s="535" t="s">
        <v>162</v>
      </c>
      <c r="M5" s="535"/>
      <c r="N5" s="619" t="s">
        <v>166</v>
      </c>
      <c r="O5" s="536" t="s">
        <v>165</v>
      </c>
      <c r="P5" s="533" t="s">
        <v>226</v>
      </c>
      <c r="Q5" s="533" t="s">
        <v>227</v>
      </c>
      <c r="R5" s="533" t="s">
        <v>228</v>
      </c>
    </row>
    <row r="6" spans="1:18" s="537" customFormat="1" ht="23.25" customHeight="1" thickBot="1">
      <c r="A6" s="571"/>
      <c r="B6" s="572"/>
      <c r="C6" s="573" t="s">
        <v>3</v>
      </c>
      <c r="D6" s="574"/>
      <c r="E6" s="575"/>
      <c r="F6" s="575"/>
      <c r="G6" s="573" t="s">
        <v>2</v>
      </c>
      <c r="H6" s="574" t="s">
        <v>158</v>
      </c>
      <c r="I6" s="576" t="s">
        <v>167</v>
      </c>
      <c r="J6" s="573" t="s">
        <v>168</v>
      </c>
      <c r="K6" s="682"/>
      <c r="L6" s="577" t="s">
        <v>255</v>
      </c>
      <c r="M6" s="577" t="s">
        <v>231</v>
      </c>
      <c r="N6" s="573" t="s">
        <v>170</v>
      </c>
      <c r="O6" s="578"/>
      <c r="P6" s="574" t="s">
        <v>253</v>
      </c>
      <c r="Q6" s="574" t="s">
        <v>229</v>
      </c>
      <c r="R6" s="574" t="s">
        <v>230</v>
      </c>
    </row>
    <row r="7" spans="1:18" ht="1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4"/>
      <c r="N7" s="325"/>
      <c r="O7" s="326"/>
      <c r="P7" s="566"/>
      <c r="Q7" s="566"/>
      <c r="R7" s="566"/>
    </row>
    <row r="8" spans="1:18" s="333" customFormat="1" ht="27.75" customHeight="1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167244166</v>
      </c>
      <c r="F8" s="329">
        <f t="shared" si="0"/>
        <v>0</v>
      </c>
      <c r="G8" s="329">
        <f t="shared" si="0"/>
        <v>75000000</v>
      </c>
      <c r="H8" s="329">
        <f t="shared" si="0"/>
        <v>742621490</v>
      </c>
      <c r="I8" s="329">
        <f t="shared" si="0"/>
        <v>304424089.44652778</v>
      </c>
      <c r="J8" s="329">
        <f>SUM(J9:J17)</f>
        <v>59056213</v>
      </c>
      <c r="K8" s="330">
        <f t="shared" ref="K8:K19" si="1">L8/H8</f>
        <v>0.4894556747159684</v>
      </c>
      <c r="L8" s="331">
        <f>SUM(L9:L17)</f>
        <v>363480302.44652778</v>
      </c>
      <c r="M8" s="331">
        <f>SUM(M9:M17)</f>
        <v>363480302.44652778</v>
      </c>
      <c r="N8" s="329">
        <f>SUM(N9:N17)</f>
        <v>379141187.55347222</v>
      </c>
      <c r="O8" s="332">
        <f>N8/H8</f>
        <v>0.5105443252840316</v>
      </c>
      <c r="P8" s="329">
        <f>SUM(P9:P17)</f>
        <v>363480302.44652778</v>
      </c>
      <c r="Q8" s="329">
        <f>SUM(Q9:Q17)</f>
        <v>0</v>
      </c>
      <c r="R8" s="329">
        <f>SUM(R9:R17)</f>
        <v>0</v>
      </c>
    </row>
    <row r="9" spans="1:18" ht="1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PRESUPUESTO'!H7+'LIBRO DE PRESUPUESTO'!H12+'LIBRO DE PRESUPUESTO'!H15+'LIBRO DE PRESUPUESTO'!H21</f>
        <v>75000000</v>
      </c>
      <c r="H9" s="341">
        <f>C9-D9+E9+F9-G9</f>
        <v>413231324</v>
      </c>
      <c r="I9" s="342">
        <f>JULIO!I9+JULIO!J9</f>
        <v>267764249</v>
      </c>
      <c r="J9" s="4"/>
      <c r="K9" s="343">
        <f t="shared" si="1"/>
        <v>0.64797664999858529</v>
      </c>
      <c r="L9" s="344">
        <f t="shared" ref="L9:L15" si="2">J9+I9</f>
        <v>267764249</v>
      </c>
      <c r="M9" s="522">
        <f>I9+J9</f>
        <v>267764249</v>
      </c>
      <c r="N9" s="345">
        <f t="shared" ref="N9:N61" si="3">H9-L9</f>
        <v>145467075</v>
      </c>
      <c r="O9" s="346">
        <f>N9/H9</f>
        <v>0.35202335000141471</v>
      </c>
      <c r="P9" s="567">
        <f>M9</f>
        <v>267764249</v>
      </c>
      <c r="Q9" s="567">
        <f>M9-P9</f>
        <v>0</v>
      </c>
      <c r="R9" s="567">
        <f>L9-M9</f>
        <v>0</v>
      </c>
    </row>
    <row r="10" spans="1:18" ht="15">
      <c r="A10" s="334">
        <v>202110101</v>
      </c>
      <c r="B10" s="335" t="s">
        <v>217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f>JULIO!I10+JULIO!J10</f>
        <v>0</v>
      </c>
      <c r="J10" s="4">
        <f>'LIBRO DE PRESUPUESTO'!J22+'LIBRO DE PRESUPUESTO'!J19+'LIBRO DE PRESUPUESTO'!J20</f>
        <v>57442720</v>
      </c>
      <c r="K10" s="343">
        <f t="shared" si="1"/>
        <v>0.34346621095291302</v>
      </c>
      <c r="L10" s="344">
        <f t="shared" si="2"/>
        <v>57442720</v>
      </c>
      <c r="M10" s="522">
        <f t="shared" ref="M10:M17" si="4">I10+J10</f>
        <v>57442720</v>
      </c>
      <c r="N10" s="345">
        <f t="shared" si="3"/>
        <v>109801446</v>
      </c>
      <c r="O10" s="346">
        <f>N10/H10</f>
        <v>0.65653378904708704</v>
      </c>
      <c r="P10" s="567">
        <f>L10</f>
        <v>57442720</v>
      </c>
      <c r="Q10" s="567">
        <f t="shared" ref="Q10:Q17" si="5">M10-P10</f>
        <v>0</v>
      </c>
      <c r="R10" s="567">
        <f t="shared" ref="R10:R17" si="6">L10-M10</f>
        <v>0</v>
      </c>
    </row>
    <row r="11" spans="1:18" ht="15">
      <c r="A11" s="334">
        <v>202110103</v>
      </c>
      <c r="B11" s="335" t="s">
        <v>11</v>
      </c>
      <c r="C11" s="336">
        <f>'PAC INICIAL 2020'!C25</f>
        <v>1246000</v>
      </c>
      <c r="D11" s="337"/>
      <c r="E11" s="338"/>
      <c r="F11" s="339"/>
      <c r="G11" s="347"/>
      <c r="H11" s="341">
        <f t="shared" ref="H11:H21" si="7">C11-D11+E11+F11-G11</f>
        <v>1246000</v>
      </c>
      <c r="I11" s="342">
        <f>JULIO!I11+JULIO!J11</f>
        <v>719978</v>
      </c>
      <c r="J11" s="342">
        <f>'LIBRO DE PRESUPUESTO'!J42</f>
        <v>102854</v>
      </c>
      <c r="K11" s="343">
        <f t="shared" si="1"/>
        <v>0.66037881219903694</v>
      </c>
      <c r="L11" s="344">
        <f t="shared" si="2"/>
        <v>822832</v>
      </c>
      <c r="M11" s="522">
        <f t="shared" si="4"/>
        <v>822832</v>
      </c>
      <c r="N11" s="345">
        <f t="shared" si="3"/>
        <v>423168</v>
      </c>
      <c r="O11" s="346">
        <f t="shared" ref="O11:O19" si="8">N11/H11</f>
        <v>0.33962118780096306</v>
      </c>
      <c r="P11" s="567">
        <f t="shared" ref="P11:P26" si="9">L11</f>
        <v>822832</v>
      </c>
      <c r="Q11" s="567">
        <f t="shared" si="5"/>
        <v>0</v>
      </c>
      <c r="R11" s="567">
        <f t="shared" si="6"/>
        <v>0</v>
      </c>
    </row>
    <row r="12" spans="1:18" ht="15.75" customHeight="1">
      <c r="A12" s="334">
        <v>202110104</v>
      </c>
      <c r="B12" s="335" t="s">
        <v>13</v>
      </c>
      <c r="C12" s="336">
        <f>'PAC INICIAL 2020'!C26</f>
        <v>900000</v>
      </c>
      <c r="D12" s="337"/>
      <c r="E12" s="338"/>
      <c r="F12" s="339"/>
      <c r="G12" s="347"/>
      <c r="H12" s="341">
        <f t="shared" si="7"/>
        <v>900000</v>
      </c>
      <c r="I12" s="342">
        <f>JULIO!I12+JULIO!J12</f>
        <v>462686</v>
      </c>
      <c r="J12" s="342">
        <f>'LIBRO DE PRESUPUESTO'!J59</f>
        <v>66098</v>
      </c>
      <c r="K12" s="343">
        <f t="shared" si="1"/>
        <v>0.58753777777777783</v>
      </c>
      <c r="L12" s="344">
        <f t="shared" si="2"/>
        <v>528784</v>
      </c>
      <c r="M12" s="522">
        <f t="shared" si="4"/>
        <v>528784</v>
      </c>
      <c r="N12" s="345">
        <f t="shared" si="3"/>
        <v>371216</v>
      </c>
      <c r="O12" s="346">
        <f t="shared" si="8"/>
        <v>0.41246222222222223</v>
      </c>
      <c r="P12" s="567">
        <f t="shared" si="9"/>
        <v>528784</v>
      </c>
      <c r="Q12" s="567">
        <f t="shared" si="5"/>
        <v>0</v>
      </c>
      <c r="R12" s="567">
        <f t="shared" si="6"/>
        <v>0</v>
      </c>
    </row>
    <row r="13" spans="1:18" ht="15">
      <c r="A13" s="334">
        <v>202110105</v>
      </c>
      <c r="B13" s="335" t="s">
        <v>15</v>
      </c>
      <c r="C13" s="336">
        <f>'PAC INICIAL 2020'!C27</f>
        <v>17000000</v>
      </c>
      <c r="D13" s="337"/>
      <c r="E13" s="338"/>
      <c r="F13" s="339"/>
      <c r="G13" s="347"/>
      <c r="H13" s="341">
        <f t="shared" si="7"/>
        <v>17000000</v>
      </c>
      <c r="I13" s="342">
        <f>JULIO!I13+JULIO!J13</f>
        <v>5839085</v>
      </c>
      <c r="J13" s="4">
        <v>0</v>
      </c>
      <c r="K13" s="343">
        <f t="shared" si="1"/>
        <v>0.34347558823529412</v>
      </c>
      <c r="L13" s="344">
        <f t="shared" si="2"/>
        <v>5839085</v>
      </c>
      <c r="M13" s="522">
        <f t="shared" si="4"/>
        <v>5839085</v>
      </c>
      <c r="N13" s="345">
        <f t="shared" si="3"/>
        <v>11160915</v>
      </c>
      <c r="O13" s="346">
        <f t="shared" si="8"/>
        <v>0.65652441176470588</v>
      </c>
      <c r="P13" s="567">
        <f t="shared" si="9"/>
        <v>5839085</v>
      </c>
      <c r="Q13" s="567">
        <f t="shared" si="5"/>
        <v>0</v>
      </c>
      <c r="R13" s="567">
        <f t="shared" si="6"/>
        <v>0</v>
      </c>
    </row>
    <row r="14" spans="1:18" ht="15">
      <c r="A14" s="334">
        <v>202110106</v>
      </c>
      <c r="B14" s="335" t="s">
        <v>17</v>
      </c>
      <c r="C14" s="336">
        <f>'PAC INICIAL 2020'!C28</f>
        <v>24000000</v>
      </c>
      <c r="D14" s="337"/>
      <c r="E14" s="338"/>
      <c r="F14" s="339"/>
      <c r="G14" s="347"/>
      <c r="H14" s="341">
        <f t="shared" si="7"/>
        <v>24000000</v>
      </c>
      <c r="I14" s="342">
        <f>JULIO!I14+JULIO!J14</f>
        <v>19386633.446527779</v>
      </c>
      <c r="J14" s="4">
        <f>'LIBRO DE PRESUPUESTO'!J100</f>
        <v>1444541</v>
      </c>
      <c r="K14" s="343">
        <f t="shared" si="1"/>
        <v>0.86796560193865746</v>
      </c>
      <c r="L14" s="344">
        <f t="shared" si="2"/>
        <v>20831174.446527779</v>
      </c>
      <c r="M14" s="522">
        <f t="shared" si="4"/>
        <v>20831174.446527779</v>
      </c>
      <c r="N14" s="345">
        <f t="shared" si="3"/>
        <v>3168825.5534722209</v>
      </c>
      <c r="O14" s="346">
        <f t="shared" si="8"/>
        <v>0.13203439806134254</v>
      </c>
      <c r="P14" s="567">
        <f t="shared" si="9"/>
        <v>20831174.446527779</v>
      </c>
      <c r="Q14" s="567">
        <f t="shared" si="5"/>
        <v>0</v>
      </c>
      <c r="R14" s="567">
        <f t="shared" si="6"/>
        <v>0</v>
      </c>
    </row>
    <row r="15" spans="1:18" ht="15">
      <c r="A15" s="334">
        <v>202110107</v>
      </c>
      <c r="B15" s="335" t="s">
        <v>19</v>
      </c>
      <c r="C15" s="336">
        <f>'PAC INICIAL 2020'!C29</f>
        <v>28000000</v>
      </c>
      <c r="D15" s="337"/>
      <c r="E15" s="338"/>
      <c r="F15" s="339"/>
      <c r="G15" s="347"/>
      <c r="H15" s="341">
        <f t="shared" si="7"/>
        <v>28000000</v>
      </c>
      <c r="I15" s="342">
        <f>JULIO!I15+JULIO!J15</f>
        <v>3558184</v>
      </c>
      <c r="J15" s="4">
        <v>0</v>
      </c>
      <c r="K15" s="343">
        <f t="shared" si="1"/>
        <v>0.127078</v>
      </c>
      <c r="L15" s="344">
        <f t="shared" si="2"/>
        <v>3558184</v>
      </c>
      <c r="M15" s="522">
        <f t="shared" si="4"/>
        <v>3558184</v>
      </c>
      <c r="N15" s="345">
        <f t="shared" si="3"/>
        <v>24441816</v>
      </c>
      <c r="O15" s="346">
        <f t="shared" si="8"/>
        <v>0.87292199999999998</v>
      </c>
      <c r="P15" s="567">
        <f t="shared" si="9"/>
        <v>3558184</v>
      </c>
      <c r="Q15" s="567">
        <f t="shared" si="5"/>
        <v>0</v>
      </c>
      <c r="R15" s="567">
        <f t="shared" si="6"/>
        <v>0</v>
      </c>
    </row>
    <row r="16" spans="1:18" ht="15">
      <c r="A16" s="334">
        <v>202110109</v>
      </c>
      <c r="B16" s="335" t="s">
        <v>20</v>
      </c>
      <c r="C16" s="336">
        <f>'PAC INICIAL 2020'!C30</f>
        <v>36000000</v>
      </c>
      <c r="D16" s="337"/>
      <c r="E16" s="338"/>
      <c r="F16" s="339"/>
      <c r="G16" s="347"/>
      <c r="H16" s="341">
        <f t="shared" si="7"/>
        <v>36000000</v>
      </c>
      <c r="I16" s="342">
        <f>JULIO!I16+JULIO!J16</f>
        <v>5287971</v>
      </c>
      <c r="J16" s="4">
        <v>0</v>
      </c>
      <c r="K16" s="343">
        <f t="shared" si="1"/>
        <v>0.14688808333333334</v>
      </c>
      <c r="L16" s="344">
        <f>J16+I16</f>
        <v>5287971</v>
      </c>
      <c r="M16" s="522">
        <f t="shared" si="4"/>
        <v>5287971</v>
      </c>
      <c r="N16" s="345">
        <f t="shared" si="3"/>
        <v>30712029</v>
      </c>
      <c r="O16" s="346">
        <f t="shared" si="8"/>
        <v>0.85311191666666664</v>
      </c>
      <c r="P16" s="567">
        <f t="shared" si="9"/>
        <v>5287971</v>
      </c>
      <c r="Q16" s="567">
        <f t="shared" si="5"/>
        <v>0</v>
      </c>
      <c r="R16" s="567">
        <f t="shared" si="6"/>
        <v>0</v>
      </c>
    </row>
    <row r="17" spans="1:18" ht="15">
      <c r="A17" s="334">
        <v>202110108</v>
      </c>
      <c r="B17" s="335" t="s">
        <v>21</v>
      </c>
      <c r="C17" s="336">
        <f>'PAC INICIAL 2020'!C31</f>
        <v>55000000</v>
      </c>
      <c r="D17" s="337"/>
      <c r="E17" s="338"/>
      <c r="F17" s="339"/>
      <c r="G17" s="347"/>
      <c r="H17" s="341">
        <f t="shared" si="7"/>
        <v>55000000</v>
      </c>
      <c r="I17" s="342">
        <f>JULIO!I17+JULIO!J17</f>
        <v>1405303</v>
      </c>
      <c r="J17" s="4">
        <v>0</v>
      </c>
      <c r="K17" s="343">
        <f t="shared" si="1"/>
        <v>2.5550963636363635E-2</v>
      </c>
      <c r="L17" s="344">
        <f t="shared" ref="L17:L59" si="10">J17+I17</f>
        <v>1405303</v>
      </c>
      <c r="M17" s="522">
        <f t="shared" si="4"/>
        <v>1405303</v>
      </c>
      <c r="N17" s="345">
        <f t="shared" si="3"/>
        <v>53594697</v>
      </c>
      <c r="O17" s="346">
        <f t="shared" si="8"/>
        <v>0.97444903636363633</v>
      </c>
      <c r="P17" s="567">
        <f t="shared" si="9"/>
        <v>1405303</v>
      </c>
      <c r="Q17" s="567">
        <f t="shared" si="5"/>
        <v>0</v>
      </c>
      <c r="R17" s="567">
        <f t="shared" si="6"/>
        <v>0</v>
      </c>
    </row>
    <row r="18" spans="1:18" s="349" customFormat="1" ht="27.75" customHeight="1">
      <c r="A18" s="327">
        <v>2021102</v>
      </c>
      <c r="B18" s="328" t="s">
        <v>23</v>
      </c>
      <c r="C18" s="329">
        <f t="shared" ref="C18:J18" si="11">SUM(C19:C21)</f>
        <v>20000000</v>
      </c>
      <c r="D18" s="329">
        <f t="shared" si="11"/>
        <v>0</v>
      </c>
      <c r="E18" s="329">
        <f t="shared" si="11"/>
        <v>0</v>
      </c>
      <c r="F18" s="329">
        <f t="shared" si="11"/>
        <v>91500000</v>
      </c>
      <c r="G18" s="329">
        <f t="shared" si="11"/>
        <v>0</v>
      </c>
      <c r="H18" s="329">
        <f t="shared" si="11"/>
        <v>111500000</v>
      </c>
      <c r="I18" s="329">
        <f t="shared" si="11"/>
        <v>90500000</v>
      </c>
      <c r="J18" s="329">
        <f t="shared" si="11"/>
        <v>16000000</v>
      </c>
      <c r="K18" s="330">
        <f t="shared" si="1"/>
        <v>0.95515695067264572</v>
      </c>
      <c r="L18" s="348">
        <f>SUM(L19:L21)</f>
        <v>106500000</v>
      </c>
      <c r="M18" s="348">
        <f>SUM(M19:M21)</f>
        <v>106500000</v>
      </c>
      <c r="N18" s="348">
        <f>SUM(N19:N21)</f>
        <v>5000000</v>
      </c>
      <c r="O18" s="332">
        <f t="shared" si="8"/>
        <v>4.4843049327354258E-2</v>
      </c>
      <c r="P18" s="329">
        <f>SUM(P19:P21)</f>
        <v>64000000</v>
      </c>
      <c r="Q18" s="329">
        <f>SUM(Q19:Q21)</f>
        <v>42500000</v>
      </c>
      <c r="R18" s="329">
        <f>SUM(R19:R21)</f>
        <v>0</v>
      </c>
    </row>
    <row r="19" spans="1:18" ht="15">
      <c r="A19" s="334">
        <v>202110201</v>
      </c>
      <c r="B19" s="350" t="s">
        <v>25</v>
      </c>
      <c r="C19" s="336">
        <f>'PAC INICIAL 2020'!C33</f>
        <v>20000000</v>
      </c>
      <c r="D19" s="342"/>
      <c r="E19" s="338"/>
      <c r="F19" s="339">
        <f>'LIBRO DE PRESUPUESTO'!G161+'LIBRO DE PRESUPUESTO'!G167</f>
        <v>67000000</v>
      </c>
      <c r="G19" s="347"/>
      <c r="H19" s="341">
        <f t="shared" si="7"/>
        <v>87000000</v>
      </c>
      <c r="I19" s="342">
        <f>JULIO!I19+JULIO!J19</f>
        <v>66000000</v>
      </c>
      <c r="J19" s="342">
        <f>'LIBRO DE PRESUPUESTO'!J169</f>
        <v>16000000</v>
      </c>
      <c r="K19" s="343">
        <f t="shared" si="1"/>
        <v>0.94252873563218387</v>
      </c>
      <c r="L19" s="344">
        <f t="shared" si="10"/>
        <v>82000000</v>
      </c>
      <c r="M19" s="522">
        <f>I19+J19</f>
        <v>82000000</v>
      </c>
      <c r="N19" s="345">
        <f t="shared" si="3"/>
        <v>5000000</v>
      </c>
      <c r="O19" s="346">
        <f t="shared" si="8"/>
        <v>5.7471264367816091E-2</v>
      </c>
      <c r="P19" s="567">
        <f>L19-8000000-14000000-8000000</f>
        <v>52000000</v>
      </c>
      <c r="Q19" s="567">
        <f t="shared" ref="Q19:Q26" si="12">M19-P19</f>
        <v>30000000</v>
      </c>
      <c r="R19" s="567">
        <f t="shared" ref="R19:R59" si="13">L19-M19</f>
        <v>0</v>
      </c>
    </row>
    <row r="20" spans="1:18" ht="1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f>'LIBRO DE PRESUPUESTO'!G176+'LIBRO DE PRESUPUESTO'!G178+'LIBRO DE PRESUPUESTO'!G180</f>
        <v>24500000</v>
      </c>
      <c r="G20" s="347"/>
      <c r="H20" s="341">
        <f t="shared" si="7"/>
        <v>24500000</v>
      </c>
      <c r="I20" s="342">
        <f>JULIO!I20+JULIO!J20</f>
        <v>24500000</v>
      </c>
      <c r="J20" s="342">
        <v>0</v>
      </c>
      <c r="K20" s="343">
        <v>0</v>
      </c>
      <c r="L20" s="344">
        <f t="shared" si="10"/>
        <v>24500000</v>
      </c>
      <c r="M20" s="522">
        <f t="shared" ref="M20:M61" si="14">I20+J20</f>
        <v>24500000</v>
      </c>
      <c r="N20" s="345">
        <f t="shared" si="3"/>
        <v>0</v>
      </c>
      <c r="O20" s="346">
        <v>0</v>
      </c>
      <c r="P20" s="567">
        <f>L20-12500000</f>
        <v>12000000</v>
      </c>
      <c r="Q20" s="567">
        <f t="shared" si="12"/>
        <v>12500000</v>
      </c>
      <c r="R20" s="567">
        <f t="shared" si="13"/>
        <v>0</v>
      </c>
    </row>
    <row r="21" spans="1:18" ht="1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7"/>
        <v>0</v>
      </c>
      <c r="I21" s="342">
        <f>JULIO!I21+JULIO!J21</f>
        <v>0</v>
      </c>
      <c r="J21" s="2">
        <v>0</v>
      </c>
      <c r="K21" s="343">
        <v>0</v>
      </c>
      <c r="L21" s="344">
        <f t="shared" si="10"/>
        <v>0</v>
      </c>
      <c r="M21" s="522">
        <f t="shared" si="14"/>
        <v>0</v>
      </c>
      <c r="N21" s="345">
        <f t="shared" si="3"/>
        <v>0</v>
      </c>
      <c r="O21" s="346">
        <v>0</v>
      </c>
      <c r="P21" s="567">
        <f t="shared" si="9"/>
        <v>0</v>
      </c>
      <c r="Q21" s="567">
        <f t="shared" si="12"/>
        <v>0</v>
      </c>
      <c r="R21" s="567">
        <f t="shared" si="13"/>
        <v>0</v>
      </c>
    </row>
    <row r="22" spans="1:18" ht="30">
      <c r="A22" s="327">
        <v>2021103</v>
      </c>
      <c r="B22" s="359" t="s">
        <v>69</v>
      </c>
      <c r="C22" s="360">
        <f>SUM(C23:C26)</f>
        <v>83629741</v>
      </c>
      <c r="D22" s="360">
        <f t="shared" ref="D22:J22" si="15">SUM(D23:D26)</f>
        <v>0</v>
      </c>
      <c r="E22" s="360">
        <f t="shared" si="15"/>
        <v>0</v>
      </c>
      <c r="F22" s="360">
        <f t="shared" si="15"/>
        <v>0</v>
      </c>
      <c r="G22" s="360">
        <f t="shared" si="15"/>
        <v>0</v>
      </c>
      <c r="H22" s="360">
        <f t="shared" si="15"/>
        <v>83629741</v>
      </c>
      <c r="I22" s="360">
        <f t="shared" si="15"/>
        <v>30359639</v>
      </c>
      <c r="J22" s="360">
        <f t="shared" si="15"/>
        <v>5890924</v>
      </c>
      <c r="K22" s="330">
        <f>L22/H22</f>
        <v>0.43346496792331329</v>
      </c>
      <c r="L22" s="583">
        <f>SUM(L23:L26)</f>
        <v>36250563</v>
      </c>
      <c r="M22" s="583">
        <f>SUM(M23:M26)</f>
        <v>36250563</v>
      </c>
      <c r="N22" s="583">
        <f>SUM(N23:N26)</f>
        <v>47379178</v>
      </c>
      <c r="O22" s="332">
        <f t="shared" ref="O22:O28" si="16">N22/H22</f>
        <v>0.56653503207668665</v>
      </c>
      <c r="P22" s="329">
        <f>SUM(P23:P26)</f>
        <v>36250563</v>
      </c>
      <c r="Q22" s="329">
        <f>SUM(Q23:Q26)</f>
        <v>0</v>
      </c>
      <c r="R22" s="329">
        <f>SUM(R23:R26)</f>
        <v>0</v>
      </c>
    </row>
    <row r="23" spans="1:18" ht="15">
      <c r="A23" s="334">
        <v>202110301</v>
      </c>
      <c r="B23" s="351" t="s">
        <v>71</v>
      </c>
      <c r="C23" s="336">
        <f>'PAC INICIAL 2020'!C60</f>
        <v>16000083</v>
      </c>
      <c r="D23" s="337"/>
      <c r="E23" s="338"/>
      <c r="F23" s="339"/>
      <c r="G23" s="347"/>
      <c r="H23" s="341">
        <f>C23-D23+E23+F23-G23</f>
        <v>16000083</v>
      </c>
      <c r="I23" s="342">
        <f>JULIO!I23+JULIO!J23</f>
        <v>1440737</v>
      </c>
      <c r="J23" s="4">
        <v>0</v>
      </c>
      <c r="K23" s="343">
        <f t="shared" ref="K23:K36" si="17">L23/H23</f>
        <v>9.0045595388473926E-2</v>
      </c>
      <c r="L23" s="344">
        <f>J23+I23</f>
        <v>1440737</v>
      </c>
      <c r="M23" s="522">
        <f t="shared" si="14"/>
        <v>1440737</v>
      </c>
      <c r="N23" s="345">
        <f>H23-L23</f>
        <v>14559346</v>
      </c>
      <c r="O23" s="346">
        <f t="shared" si="16"/>
        <v>0.9099544046115261</v>
      </c>
      <c r="P23" s="567">
        <f t="shared" si="9"/>
        <v>1440737</v>
      </c>
      <c r="Q23" s="567">
        <f t="shared" si="12"/>
        <v>0</v>
      </c>
      <c r="R23" s="567">
        <f t="shared" si="13"/>
        <v>0</v>
      </c>
    </row>
    <row r="24" spans="1:18" ht="15">
      <c r="A24" s="334">
        <v>202110302</v>
      </c>
      <c r="B24" s="351" t="s">
        <v>73</v>
      </c>
      <c r="C24" s="336">
        <f>'PAC INICIAL 2020'!C61</f>
        <v>46429658</v>
      </c>
      <c r="D24" s="337"/>
      <c r="E24" s="338"/>
      <c r="F24" s="339"/>
      <c r="G24" s="347"/>
      <c r="H24" s="341">
        <f>C24-D24+E24+F24-G24</f>
        <v>46429658</v>
      </c>
      <c r="I24" s="342">
        <f>JULIO!I24+JULIO!J24</f>
        <v>22729864</v>
      </c>
      <c r="J24" s="4">
        <f>'LIBRO DE PRESUPUESTO'!J580+'LIBRO DE PRESUPUESTO'!J579</f>
        <v>4824967</v>
      </c>
      <c r="K24" s="343">
        <f t="shared" si="17"/>
        <v>0.59347477855641328</v>
      </c>
      <c r="L24" s="344">
        <f>J24+I24</f>
        <v>27554831</v>
      </c>
      <c r="M24" s="522">
        <f t="shared" si="14"/>
        <v>27554831</v>
      </c>
      <c r="N24" s="345">
        <f>H24-L24</f>
        <v>18874827</v>
      </c>
      <c r="O24" s="346">
        <f t="shared" si="16"/>
        <v>0.40652522144358677</v>
      </c>
      <c r="P24" s="567">
        <f>L24</f>
        <v>27554831</v>
      </c>
      <c r="Q24" s="567">
        <f t="shared" si="12"/>
        <v>0</v>
      </c>
      <c r="R24" s="567">
        <f t="shared" si="13"/>
        <v>0</v>
      </c>
    </row>
    <row r="25" spans="1:18" ht="15">
      <c r="A25" s="334">
        <v>202110304</v>
      </c>
      <c r="B25" s="351" t="s">
        <v>74</v>
      </c>
      <c r="C25" s="336">
        <f>'PAC INICIAL 2020'!C62</f>
        <v>14000000</v>
      </c>
      <c r="D25" s="337"/>
      <c r="E25" s="338"/>
      <c r="F25" s="339"/>
      <c r="G25" s="347"/>
      <c r="H25" s="341">
        <f>C25-D25+E25+F25-G25</f>
        <v>14000000</v>
      </c>
      <c r="I25" s="342">
        <f>JULIO!I25+JULIO!J25</f>
        <v>6016149</v>
      </c>
      <c r="J25" s="4">
        <f>'LIBRO DE PRESUPUESTO'!J595+'LIBRO DE PRESUPUESTO'!J594</f>
        <v>1065957</v>
      </c>
      <c r="K25" s="343">
        <f t="shared" si="17"/>
        <v>0.50586471428571433</v>
      </c>
      <c r="L25" s="344">
        <f>J25+I25</f>
        <v>7082106</v>
      </c>
      <c r="M25" s="522">
        <f t="shared" si="14"/>
        <v>7082106</v>
      </c>
      <c r="N25" s="345">
        <f>H25-L25</f>
        <v>6917894</v>
      </c>
      <c r="O25" s="346">
        <f t="shared" si="16"/>
        <v>0.49413528571428572</v>
      </c>
      <c r="P25" s="567">
        <f>L25</f>
        <v>7082106</v>
      </c>
      <c r="Q25" s="567">
        <f t="shared" si="12"/>
        <v>0</v>
      </c>
      <c r="R25" s="567">
        <f t="shared" si="13"/>
        <v>0</v>
      </c>
    </row>
    <row r="26" spans="1:18" ht="15">
      <c r="A26" s="334">
        <v>202110305</v>
      </c>
      <c r="B26" s="351" t="s">
        <v>75</v>
      </c>
      <c r="C26" s="336">
        <f>'PAC INICIAL 2020'!C63</f>
        <v>7200000</v>
      </c>
      <c r="D26" s="362"/>
      <c r="E26" s="338"/>
      <c r="F26" s="339"/>
      <c r="G26" s="363"/>
      <c r="H26" s="341">
        <f>C26-D26+E26+F26-G26</f>
        <v>7200000</v>
      </c>
      <c r="I26" s="342">
        <f>JULIO!I26+JULIO!J26</f>
        <v>172889</v>
      </c>
      <c r="J26" s="341">
        <v>0</v>
      </c>
      <c r="K26" s="343">
        <f t="shared" si="17"/>
        <v>2.4012361111111113E-2</v>
      </c>
      <c r="L26" s="344">
        <f>J26+I26</f>
        <v>172889</v>
      </c>
      <c r="M26" s="522">
        <f t="shared" si="14"/>
        <v>172889</v>
      </c>
      <c r="N26" s="345">
        <f>H26-L26</f>
        <v>7027111</v>
      </c>
      <c r="O26" s="346">
        <f t="shared" si="16"/>
        <v>0.97598763888888884</v>
      </c>
      <c r="P26" s="567">
        <f t="shared" si="9"/>
        <v>172889</v>
      </c>
      <c r="Q26" s="567">
        <f t="shared" si="12"/>
        <v>0</v>
      </c>
      <c r="R26" s="567">
        <f t="shared" si="13"/>
        <v>0</v>
      </c>
    </row>
    <row r="27" spans="1:18" ht="15.75">
      <c r="A27" s="327">
        <v>2021104</v>
      </c>
      <c r="B27" s="364" t="s">
        <v>76</v>
      </c>
      <c r="C27" s="360">
        <f t="shared" ref="C27:J27" si="18">SUM(C28:C37)</f>
        <v>177100000</v>
      </c>
      <c r="D27" s="360">
        <f t="shared" si="18"/>
        <v>0</v>
      </c>
      <c r="E27" s="360">
        <f t="shared" si="18"/>
        <v>0</v>
      </c>
      <c r="F27" s="360">
        <f t="shared" si="18"/>
        <v>0</v>
      </c>
      <c r="G27" s="360">
        <f t="shared" si="18"/>
        <v>46000000</v>
      </c>
      <c r="H27" s="360">
        <f t="shared" si="18"/>
        <v>131100000</v>
      </c>
      <c r="I27" s="329">
        <f t="shared" si="18"/>
        <v>51851897</v>
      </c>
      <c r="J27" s="329">
        <f t="shared" si="18"/>
        <v>11215539</v>
      </c>
      <c r="K27" s="330">
        <f>L27/H27</f>
        <v>0.48106358504958047</v>
      </c>
      <c r="L27" s="331">
        <f>SUM(L28:L37)</f>
        <v>63067436</v>
      </c>
      <c r="M27" s="348">
        <f>SUM(M28:M37)</f>
        <v>63067436</v>
      </c>
      <c r="N27" s="348">
        <f>SUM(N28:N37)</f>
        <v>68032564</v>
      </c>
      <c r="O27" s="332">
        <f t="shared" si="16"/>
        <v>0.51893641495041953</v>
      </c>
      <c r="P27" s="329">
        <f>SUM(P28:P37)</f>
        <v>63067436</v>
      </c>
      <c r="Q27" s="329">
        <f>SUM(Q28:Q37)</f>
        <v>0</v>
      </c>
      <c r="R27" s="329">
        <f>SUM(R28:R43)</f>
        <v>0</v>
      </c>
    </row>
    <row r="28" spans="1:18" ht="15">
      <c r="A28" s="365">
        <v>202110401</v>
      </c>
      <c r="B28" s="351" t="s">
        <v>78</v>
      </c>
      <c r="C28" s="336">
        <f>'PAC INICIAL 2020'!C65</f>
        <v>56000000</v>
      </c>
      <c r="D28" s="337"/>
      <c r="E28" s="338"/>
      <c r="F28" s="339"/>
      <c r="G28" s="347">
        <f>'LIBRO DE PRESUPUESTO'!H615</f>
        <v>46000000</v>
      </c>
      <c r="H28" s="341">
        <f t="shared" ref="H28:H37" si="19">C28-D28+E28+F28-G28</f>
        <v>10000000</v>
      </c>
      <c r="I28" s="342">
        <f>JULIO!I28+JULIO!J28</f>
        <v>102050</v>
      </c>
      <c r="J28" s="2">
        <v>0</v>
      </c>
      <c r="K28" s="343">
        <f t="shared" si="17"/>
        <v>1.0205000000000001E-2</v>
      </c>
      <c r="L28" s="344">
        <f t="shared" ref="L28:L37" si="20">J28+I28</f>
        <v>102050</v>
      </c>
      <c r="M28" s="522">
        <f t="shared" si="14"/>
        <v>102050</v>
      </c>
      <c r="N28" s="345">
        <f t="shared" ref="N28:N37" si="21">H28-L28</f>
        <v>9897950</v>
      </c>
      <c r="O28" s="346">
        <f t="shared" si="16"/>
        <v>0.98979499999999998</v>
      </c>
      <c r="P28" s="344">
        <f>L28</f>
        <v>102050</v>
      </c>
      <c r="Q28" s="567">
        <f>M28-P28</f>
        <v>0</v>
      </c>
      <c r="R28" s="567">
        <f>L28-M28</f>
        <v>0</v>
      </c>
    </row>
    <row r="29" spans="1:18" ht="15">
      <c r="A29" s="334">
        <v>202110402</v>
      </c>
      <c r="B29" s="351" t="s">
        <v>73</v>
      </c>
      <c r="C29" s="336">
        <f>'PAC INICIAL 2020'!C66</f>
        <v>0</v>
      </c>
      <c r="D29" s="337"/>
      <c r="E29" s="338"/>
      <c r="F29" s="339"/>
      <c r="G29" s="347"/>
      <c r="H29" s="341">
        <f t="shared" si="19"/>
        <v>0</v>
      </c>
      <c r="I29" s="342">
        <f>JULIO!I29+JULIO!J29</f>
        <v>0</v>
      </c>
      <c r="J29" s="342"/>
      <c r="K29" s="343">
        <v>0</v>
      </c>
      <c r="L29" s="353">
        <f t="shared" si="20"/>
        <v>0</v>
      </c>
      <c r="M29" s="522">
        <f t="shared" si="14"/>
        <v>0</v>
      </c>
      <c r="N29" s="345">
        <f t="shared" si="21"/>
        <v>0</v>
      </c>
      <c r="O29" s="346">
        <v>0</v>
      </c>
      <c r="P29" s="344">
        <f t="shared" ref="P29:P37" si="22">L29</f>
        <v>0</v>
      </c>
      <c r="Q29" s="567">
        <f t="shared" ref="Q29:Q37" si="23">M29-P29</f>
        <v>0</v>
      </c>
      <c r="R29" s="567">
        <f t="shared" si="13"/>
        <v>0</v>
      </c>
    </row>
    <row r="30" spans="1:18" ht="15">
      <c r="A30" s="334">
        <v>202110403</v>
      </c>
      <c r="B30" s="351" t="s">
        <v>81</v>
      </c>
      <c r="C30" s="336">
        <f>'PAC INICIAL 2020'!C67</f>
        <v>3900000</v>
      </c>
      <c r="D30" s="337"/>
      <c r="E30" s="338"/>
      <c r="F30" s="339"/>
      <c r="G30" s="347"/>
      <c r="H30" s="341">
        <f t="shared" si="19"/>
        <v>3900000</v>
      </c>
      <c r="I30" s="342">
        <f>JULIO!I30+JULIO!J30</f>
        <v>1390800</v>
      </c>
      <c r="J30" s="4">
        <f>'LIBRO DE PRESUPUESTO'!J640+'LIBRO DE PRESUPUESTO'!J639</f>
        <v>296600</v>
      </c>
      <c r="K30" s="343">
        <f t="shared" si="17"/>
        <v>0.43266666666666664</v>
      </c>
      <c r="L30" s="344">
        <f t="shared" si="20"/>
        <v>1687400</v>
      </c>
      <c r="M30" s="522">
        <f t="shared" si="14"/>
        <v>1687400</v>
      </c>
      <c r="N30" s="345">
        <f t="shared" si="21"/>
        <v>2212600</v>
      </c>
      <c r="O30" s="346">
        <f t="shared" ref="O30:O36" si="24">N30/H30</f>
        <v>0.56733333333333336</v>
      </c>
      <c r="P30" s="344">
        <f t="shared" si="22"/>
        <v>1687400</v>
      </c>
      <c r="Q30" s="567">
        <f t="shared" si="23"/>
        <v>0</v>
      </c>
      <c r="R30" s="567">
        <f t="shared" si="13"/>
        <v>0</v>
      </c>
    </row>
    <row r="31" spans="1:18" ht="15">
      <c r="A31" s="334">
        <v>202110404</v>
      </c>
      <c r="B31" s="351" t="s">
        <v>74</v>
      </c>
      <c r="C31" s="336">
        <f>'PAC INICIAL 2020'!C68</f>
        <v>52000000</v>
      </c>
      <c r="D31" s="337"/>
      <c r="E31" s="338"/>
      <c r="F31" s="339"/>
      <c r="G31" s="347"/>
      <c r="H31" s="341">
        <f t="shared" si="19"/>
        <v>52000000</v>
      </c>
      <c r="I31" s="342">
        <f>JULIO!I31+JULIO!J31</f>
        <v>26098047</v>
      </c>
      <c r="J31" s="366">
        <f>'LIBRO DE PRESUPUESTO'!J655</f>
        <v>5808039</v>
      </c>
      <c r="K31" s="343">
        <f t="shared" si="17"/>
        <v>0.61357857692307693</v>
      </c>
      <c r="L31" s="344">
        <f t="shared" si="20"/>
        <v>31906086</v>
      </c>
      <c r="M31" s="522">
        <f t="shared" si="14"/>
        <v>31906086</v>
      </c>
      <c r="N31" s="345">
        <f t="shared" si="21"/>
        <v>20093914</v>
      </c>
      <c r="O31" s="346">
        <f t="shared" si="24"/>
        <v>0.38642142307692307</v>
      </c>
      <c r="P31" s="344">
        <f t="shared" si="22"/>
        <v>31906086</v>
      </c>
      <c r="Q31" s="567">
        <f t="shared" si="23"/>
        <v>0</v>
      </c>
      <c r="R31" s="567">
        <f t="shared" si="13"/>
        <v>0</v>
      </c>
    </row>
    <row r="32" spans="1:18" ht="15">
      <c r="A32" s="334">
        <v>202110405</v>
      </c>
      <c r="B32" s="351" t="s">
        <v>84</v>
      </c>
      <c r="C32" s="336">
        <f>'PAC INICIAL 2020'!C69</f>
        <v>27000000</v>
      </c>
      <c r="D32" s="337"/>
      <c r="E32" s="338"/>
      <c r="F32" s="339"/>
      <c r="G32" s="347"/>
      <c r="H32" s="341">
        <f t="shared" si="19"/>
        <v>27000000</v>
      </c>
      <c r="I32" s="342">
        <f>JULIO!I32+JULIO!J32</f>
        <v>10779100</v>
      </c>
      <c r="J32" s="4">
        <f>'LIBRO DE PRESUPUESTO'!J672+'LIBRO DE PRESUPUESTO'!J671</f>
        <v>2270900</v>
      </c>
      <c r="K32" s="343">
        <f t="shared" si="17"/>
        <v>0.48333333333333334</v>
      </c>
      <c r="L32" s="344">
        <f t="shared" si="20"/>
        <v>13050000</v>
      </c>
      <c r="M32" s="522">
        <f t="shared" si="14"/>
        <v>13050000</v>
      </c>
      <c r="N32" s="345">
        <f t="shared" si="21"/>
        <v>13950000</v>
      </c>
      <c r="O32" s="346">
        <f t="shared" si="24"/>
        <v>0.51666666666666672</v>
      </c>
      <c r="P32" s="344">
        <f t="shared" si="22"/>
        <v>13050000</v>
      </c>
      <c r="Q32" s="567">
        <f t="shared" si="23"/>
        <v>0</v>
      </c>
      <c r="R32" s="567">
        <f t="shared" si="13"/>
        <v>0</v>
      </c>
    </row>
    <row r="33" spans="1:18" ht="15">
      <c r="A33" s="334">
        <v>202110406</v>
      </c>
      <c r="B33" s="351" t="s">
        <v>86</v>
      </c>
      <c r="C33" s="336">
        <f>'PAC INICIAL 2020'!C70</f>
        <v>23000000</v>
      </c>
      <c r="D33" s="337"/>
      <c r="E33" s="338"/>
      <c r="F33" s="339"/>
      <c r="G33" s="347"/>
      <c r="H33" s="341">
        <f t="shared" si="19"/>
        <v>23000000</v>
      </c>
      <c r="I33" s="342">
        <f>JULIO!I33+JULIO!J33</f>
        <v>8083600</v>
      </c>
      <c r="J33" s="4">
        <f>'LIBRO DE PRESUPUESTO'!J688+'LIBRO DE PRESUPUESTO'!J687</f>
        <v>1703400</v>
      </c>
      <c r="K33" s="343">
        <f t="shared" si="17"/>
        <v>0.42552173913043478</v>
      </c>
      <c r="L33" s="344">
        <f t="shared" si="20"/>
        <v>9787000</v>
      </c>
      <c r="M33" s="522">
        <f t="shared" si="14"/>
        <v>9787000</v>
      </c>
      <c r="N33" s="345">
        <f t="shared" si="21"/>
        <v>13213000</v>
      </c>
      <c r="O33" s="346">
        <f t="shared" si="24"/>
        <v>0.57447826086956522</v>
      </c>
      <c r="P33" s="344">
        <f t="shared" si="22"/>
        <v>9787000</v>
      </c>
      <c r="Q33" s="567">
        <f t="shared" si="23"/>
        <v>0</v>
      </c>
      <c r="R33" s="567">
        <f t="shared" si="13"/>
        <v>0</v>
      </c>
    </row>
    <row r="34" spans="1:18" ht="15">
      <c r="A34" s="334">
        <v>202110407</v>
      </c>
      <c r="B34" s="351" t="s">
        <v>88</v>
      </c>
      <c r="C34" s="336">
        <f>'PAC INICIAL 2020'!C71</f>
        <v>4000000</v>
      </c>
      <c r="D34" s="337"/>
      <c r="E34" s="338"/>
      <c r="F34" s="339"/>
      <c r="G34" s="347"/>
      <c r="H34" s="341">
        <f t="shared" si="19"/>
        <v>4000000</v>
      </c>
      <c r="I34" s="342">
        <f>JULIO!I34+JULIO!J34</f>
        <v>1350800</v>
      </c>
      <c r="J34" s="4">
        <f>'LIBRO DE PRESUPUESTO'!J704+'LIBRO DE PRESUPUESTO'!J703</f>
        <v>284200</v>
      </c>
      <c r="K34" s="343">
        <f t="shared" si="17"/>
        <v>0.40875</v>
      </c>
      <c r="L34" s="344">
        <f t="shared" si="20"/>
        <v>1635000</v>
      </c>
      <c r="M34" s="522">
        <f t="shared" si="14"/>
        <v>1635000</v>
      </c>
      <c r="N34" s="345">
        <f t="shared" si="21"/>
        <v>2365000</v>
      </c>
      <c r="O34" s="346">
        <f t="shared" si="24"/>
        <v>0.59125000000000005</v>
      </c>
      <c r="P34" s="344">
        <f t="shared" si="22"/>
        <v>1635000</v>
      </c>
      <c r="Q34" s="567">
        <f t="shared" si="23"/>
        <v>0</v>
      </c>
      <c r="R34" s="567">
        <f t="shared" si="13"/>
        <v>0</v>
      </c>
    </row>
    <row r="35" spans="1:18" ht="15">
      <c r="A35" s="334">
        <v>202110408</v>
      </c>
      <c r="B35" s="351" t="s">
        <v>90</v>
      </c>
      <c r="C35" s="336">
        <f>'PAC INICIAL 2020'!C72</f>
        <v>4000000</v>
      </c>
      <c r="D35" s="337"/>
      <c r="E35" s="338"/>
      <c r="F35" s="339"/>
      <c r="G35" s="347"/>
      <c r="H35" s="341">
        <f t="shared" si="19"/>
        <v>4000000</v>
      </c>
      <c r="I35" s="342">
        <f>JULIO!I35+JULIO!J35</f>
        <v>1350800</v>
      </c>
      <c r="J35" s="4">
        <f>'LIBRO DE PRESUPUESTO'!J719+'LIBRO DE PRESUPUESTO'!J718</f>
        <v>284200</v>
      </c>
      <c r="K35" s="343">
        <f t="shared" si="17"/>
        <v>0.40875</v>
      </c>
      <c r="L35" s="344">
        <f t="shared" si="20"/>
        <v>1635000</v>
      </c>
      <c r="M35" s="522">
        <f t="shared" si="14"/>
        <v>1635000</v>
      </c>
      <c r="N35" s="345">
        <f t="shared" si="21"/>
        <v>2365000</v>
      </c>
      <c r="O35" s="346">
        <f t="shared" si="24"/>
        <v>0.59125000000000005</v>
      </c>
      <c r="P35" s="344">
        <f t="shared" si="22"/>
        <v>1635000</v>
      </c>
      <c r="Q35" s="567">
        <f t="shared" si="23"/>
        <v>0</v>
      </c>
      <c r="R35" s="567">
        <f t="shared" si="13"/>
        <v>0</v>
      </c>
    </row>
    <row r="36" spans="1:18" ht="15">
      <c r="A36" s="334">
        <v>202110409</v>
      </c>
      <c r="B36" s="351" t="s">
        <v>92</v>
      </c>
      <c r="C36" s="336">
        <f>'PAC INICIAL 2020'!C73</f>
        <v>7200000</v>
      </c>
      <c r="D36" s="337"/>
      <c r="E36" s="338"/>
      <c r="F36" s="339"/>
      <c r="G36" s="347"/>
      <c r="H36" s="341">
        <f t="shared" si="19"/>
        <v>7200000</v>
      </c>
      <c r="I36" s="342">
        <f>JULIO!I36+JULIO!J36</f>
        <v>2696700</v>
      </c>
      <c r="J36" s="4">
        <f>'LIBRO DE PRESUPUESTO'!J739+'LIBRO DE PRESUPUESTO'!J738</f>
        <v>568200</v>
      </c>
      <c r="K36" s="343">
        <f t="shared" si="17"/>
        <v>0.45345833333333335</v>
      </c>
      <c r="L36" s="344">
        <f t="shared" si="20"/>
        <v>3264900</v>
      </c>
      <c r="M36" s="522">
        <f t="shared" si="14"/>
        <v>3264900</v>
      </c>
      <c r="N36" s="345">
        <f t="shared" si="21"/>
        <v>3935100</v>
      </c>
      <c r="O36" s="346">
        <f t="shared" si="24"/>
        <v>0.5465416666666667</v>
      </c>
      <c r="P36" s="344">
        <f t="shared" si="22"/>
        <v>3264900</v>
      </c>
      <c r="Q36" s="567">
        <f t="shared" si="23"/>
        <v>0</v>
      </c>
      <c r="R36" s="567">
        <f t="shared" si="13"/>
        <v>0</v>
      </c>
    </row>
    <row r="37" spans="1:18" ht="15">
      <c r="A37" s="334">
        <v>202110410</v>
      </c>
      <c r="B37" s="351" t="s">
        <v>94</v>
      </c>
      <c r="C37" s="336">
        <f>'PAC INICIAL 2020'!C74</f>
        <v>0</v>
      </c>
      <c r="D37" s="342"/>
      <c r="E37" s="338"/>
      <c r="F37" s="339"/>
      <c r="G37" s="347"/>
      <c r="H37" s="341">
        <f t="shared" si="19"/>
        <v>0</v>
      </c>
      <c r="I37" s="342">
        <f>JULIO!I37+JULIO!J37</f>
        <v>0</v>
      </c>
      <c r="J37" s="342">
        <v>0</v>
      </c>
      <c r="K37" s="343">
        <v>0</v>
      </c>
      <c r="L37" s="353">
        <f t="shared" si="20"/>
        <v>0</v>
      </c>
      <c r="M37" s="522">
        <f t="shared" si="14"/>
        <v>0</v>
      </c>
      <c r="N37" s="345">
        <f t="shared" si="21"/>
        <v>0</v>
      </c>
      <c r="O37" s="346">
        <v>0</v>
      </c>
      <c r="P37" s="344">
        <f t="shared" si="22"/>
        <v>0</v>
      </c>
      <c r="Q37" s="567">
        <f t="shared" si="23"/>
        <v>0</v>
      </c>
      <c r="R37" s="567">
        <f t="shared" si="13"/>
        <v>0</v>
      </c>
    </row>
    <row r="38" spans="1:18" s="349" customFormat="1" ht="27.75" customHeight="1">
      <c r="A38" s="327">
        <v>2021201</v>
      </c>
      <c r="B38" s="352" t="s">
        <v>31</v>
      </c>
      <c r="C38" s="329">
        <f t="shared" ref="C38:J38" si="25">SUM(C39:C42)</f>
        <v>21300000</v>
      </c>
      <c r="D38" s="329">
        <f t="shared" si="25"/>
        <v>0</v>
      </c>
      <c r="E38" s="329">
        <f t="shared" si="25"/>
        <v>0</v>
      </c>
      <c r="F38" s="329">
        <f t="shared" si="25"/>
        <v>16000000</v>
      </c>
      <c r="G38" s="329">
        <f t="shared" si="25"/>
        <v>0</v>
      </c>
      <c r="H38" s="329">
        <f t="shared" si="25"/>
        <v>37300000</v>
      </c>
      <c r="I38" s="329">
        <f t="shared" si="25"/>
        <v>13595600</v>
      </c>
      <c r="J38" s="329">
        <f t="shared" si="25"/>
        <v>11714700</v>
      </c>
      <c r="K38" s="330">
        <f>L38/H38</f>
        <v>0.6785603217158177</v>
      </c>
      <c r="L38" s="348">
        <f>SUM(L39:L42)</f>
        <v>25310300</v>
      </c>
      <c r="M38" s="348">
        <f>SUM(M39:M42)</f>
        <v>25310300</v>
      </c>
      <c r="N38" s="329">
        <f>SUM(N39:N42)</f>
        <v>11989700</v>
      </c>
      <c r="O38" s="332">
        <f>N38/H38</f>
        <v>0.3214396782841823</v>
      </c>
      <c r="P38" s="329">
        <f>SUM(P39:P42)</f>
        <v>25310300</v>
      </c>
      <c r="Q38" s="329">
        <f>SUM(Q39:Q42)</f>
        <v>0</v>
      </c>
      <c r="R38" s="329">
        <f t="shared" si="13"/>
        <v>0</v>
      </c>
    </row>
    <row r="39" spans="1:18" ht="15">
      <c r="A39" s="334">
        <v>202120101</v>
      </c>
      <c r="B39" s="351" t="s">
        <v>33</v>
      </c>
      <c r="C39" s="336">
        <f>'PAC INICIAL 2020'!C38</f>
        <v>6000000</v>
      </c>
      <c r="D39" s="342"/>
      <c r="E39" s="338"/>
      <c r="F39" s="339"/>
      <c r="G39" s="347"/>
      <c r="H39" s="341">
        <f>C39-D39+E39+F39-G39</f>
        <v>6000000</v>
      </c>
      <c r="I39" s="342">
        <f>JULIO!I39+JULIO!J39</f>
        <v>3600000</v>
      </c>
      <c r="J39" s="2">
        <v>0</v>
      </c>
      <c r="K39" s="343">
        <v>0</v>
      </c>
      <c r="L39" s="344">
        <f t="shared" si="10"/>
        <v>3600000</v>
      </c>
      <c r="M39" s="522">
        <f t="shared" si="14"/>
        <v>3600000</v>
      </c>
      <c r="N39" s="345">
        <f t="shared" si="3"/>
        <v>2400000</v>
      </c>
      <c r="O39" s="346">
        <v>0</v>
      </c>
      <c r="P39" s="344">
        <f>L39</f>
        <v>3600000</v>
      </c>
      <c r="Q39" s="567">
        <f>M39-P39</f>
        <v>0</v>
      </c>
      <c r="R39" s="567">
        <f t="shared" si="13"/>
        <v>0</v>
      </c>
    </row>
    <row r="40" spans="1:18" ht="15">
      <c r="A40" s="334">
        <v>202120102</v>
      </c>
      <c r="B40" s="354" t="s">
        <v>35</v>
      </c>
      <c r="C40" s="336">
        <f>'PAC INICIAL 2020'!C39</f>
        <v>14000000</v>
      </c>
      <c r="D40" s="342"/>
      <c r="E40" s="338"/>
      <c r="F40" s="339">
        <f>'LIBRO DE PRESUPUESTO'!G206</f>
        <v>16000000</v>
      </c>
      <c r="G40" s="347"/>
      <c r="H40" s="341">
        <f>C40-D40+E40+F40-G40</f>
        <v>30000000</v>
      </c>
      <c r="I40" s="342">
        <f>JULIO!I40+JULIO!J40</f>
        <v>9995600</v>
      </c>
      <c r="J40" s="342">
        <f>'LIBRO DE PRESUPUESTO'!J207+'LIBRO DE PRESUPUESTO'!J208</f>
        <v>11714700</v>
      </c>
      <c r="K40" s="343">
        <f>L40/H40</f>
        <v>0.72367666666666663</v>
      </c>
      <c r="L40" s="344">
        <f t="shared" si="10"/>
        <v>21710300</v>
      </c>
      <c r="M40" s="522">
        <f t="shared" si="14"/>
        <v>21710300</v>
      </c>
      <c r="N40" s="345">
        <f t="shared" si="3"/>
        <v>8289700</v>
      </c>
      <c r="O40" s="355">
        <f>N40/H40</f>
        <v>0.27632333333333331</v>
      </c>
      <c r="P40" s="344">
        <f>L40</f>
        <v>21710300</v>
      </c>
      <c r="Q40" s="567">
        <f t="shared" ref="Q40:Q61" si="26">M40-P40</f>
        <v>0</v>
      </c>
      <c r="R40" s="567">
        <f t="shared" si="13"/>
        <v>0</v>
      </c>
    </row>
    <row r="41" spans="1:18" ht="15">
      <c r="A41" s="334">
        <v>202120104</v>
      </c>
      <c r="B41" s="351" t="s">
        <v>37</v>
      </c>
      <c r="C41" s="336">
        <f>'PAC INICIAL 2020'!C40</f>
        <v>1300000</v>
      </c>
      <c r="D41" s="342"/>
      <c r="E41" s="338"/>
      <c r="F41" s="339"/>
      <c r="G41" s="356"/>
      <c r="H41" s="341">
        <f>C41-D41+E41+F41-G41</f>
        <v>1300000</v>
      </c>
      <c r="I41" s="342">
        <f>JULIO!I41+JULIO!J41</f>
        <v>0</v>
      </c>
      <c r="J41" s="342">
        <v>0</v>
      </c>
      <c r="K41" s="343">
        <f>L41/H41</f>
        <v>0</v>
      </c>
      <c r="L41" s="344">
        <f t="shared" si="10"/>
        <v>0</v>
      </c>
      <c r="M41" s="522">
        <f t="shared" si="14"/>
        <v>0</v>
      </c>
      <c r="N41" s="345">
        <f t="shared" si="3"/>
        <v>1300000</v>
      </c>
      <c r="O41" s="355">
        <f>N41/H41</f>
        <v>1</v>
      </c>
      <c r="P41" s="344">
        <f>L41</f>
        <v>0</v>
      </c>
      <c r="Q41" s="567">
        <f t="shared" si="26"/>
        <v>0</v>
      </c>
      <c r="R41" s="567">
        <f t="shared" si="13"/>
        <v>0</v>
      </c>
    </row>
    <row r="42" spans="1:18" ht="15">
      <c r="A42" s="334">
        <v>202120105</v>
      </c>
      <c r="B42" s="351" t="s">
        <v>39</v>
      </c>
      <c r="C42" s="336">
        <f>'PAC INICIAL 2020'!C41</f>
        <v>0</v>
      </c>
      <c r="D42" s="342"/>
      <c r="E42" s="338"/>
      <c r="F42" s="339"/>
      <c r="G42" s="347"/>
      <c r="H42" s="341">
        <f>C42-D42+E42+F42-G42</f>
        <v>0</v>
      </c>
      <c r="I42" s="342">
        <f>JULIO!I42+JULIO!J42</f>
        <v>0</v>
      </c>
      <c r="J42" s="342">
        <v>0</v>
      </c>
      <c r="K42" s="343">
        <v>0</v>
      </c>
      <c r="L42" s="353">
        <f t="shared" si="10"/>
        <v>0</v>
      </c>
      <c r="M42" s="522">
        <f t="shared" si="14"/>
        <v>0</v>
      </c>
      <c r="N42" s="345">
        <f t="shared" si="3"/>
        <v>0</v>
      </c>
      <c r="O42" s="355">
        <v>0</v>
      </c>
      <c r="P42" s="344">
        <f>L42</f>
        <v>0</v>
      </c>
      <c r="Q42" s="567">
        <f t="shared" si="26"/>
        <v>0</v>
      </c>
      <c r="R42" s="567">
        <f t="shared" si="13"/>
        <v>0</v>
      </c>
    </row>
    <row r="43" spans="1:18" s="349" customFormat="1" ht="27.75" customHeight="1">
      <c r="A43" s="327">
        <v>2021202</v>
      </c>
      <c r="B43" s="352" t="s">
        <v>41</v>
      </c>
      <c r="C43" s="329">
        <f t="shared" ref="C43:J43" si="27">SUM(C44:C59)</f>
        <v>127719000</v>
      </c>
      <c r="D43" s="329">
        <f t="shared" si="27"/>
        <v>0</v>
      </c>
      <c r="E43" s="329">
        <f t="shared" si="27"/>
        <v>0</v>
      </c>
      <c r="F43" s="329">
        <f t="shared" si="27"/>
        <v>13500000</v>
      </c>
      <c r="G43" s="329">
        <f t="shared" si="27"/>
        <v>0</v>
      </c>
      <c r="H43" s="329">
        <f t="shared" si="27"/>
        <v>141219000</v>
      </c>
      <c r="I43" s="329">
        <f t="shared" si="27"/>
        <v>38843108</v>
      </c>
      <c r="J43" s="329">
        <f t="shared" si="27"/>
        <v>6686931</v>
      </c>
      <c r="K43" s="330">
        <f t="shared" ref="K43:K50" si="28">L43/H43</f>
        <v>0.32240731771220588</v>
      </c>
      <c r="L43" s="331">
        <f>SUM(L44:L59)</f>
        <v>45530039</v>
      </c>
      <c r="M43" s="331">
        <f>SUM(M44:M59)</f>
        <v>45530039</v>
      </c>
      <c r="N43" s="348">
        <f>SUM(N44:N59)</f>
        <v>95688961</v>
      </c>
      <c r="O43" s="332">
        <f t="shared" ref="O43:O48" si="29">N43/H43</f>
        <v>0.67759268228779412</v>
      </c>
      <c r="P43" s="348">
        <f>SUM(P44:P59)</f>
        <v>45530039</v>
      </c>
      <c r="Q43" s="348">
        <f>SUM(Q44:Q59)</f>
        <v>0</v>
      </c>
      <c r="R43" s="348">
        <f t="shared" si="13"/>
        <v>0</v>
      </c>
    </row>
    <row r="44" spans="1:18" ht="15.75">
      <c r="A44" s="334">
        <v>202120201</v>
      </c>
      <c r="B44" s="351" t="s">
        <v>43</v>
      </c>
      <c r="C44" s="336">
        <f>'PAC INICIAL 2020'!C43</f>
        <v>9000000</v>
      </c>
      <c r="D44" s="342"/>
      <c r="E44" s="338"/>
      <c r="F44" s="339">
        <f>'LIBRO DE PRESUPUESTO'!G227</f>
        <v>10000000</v>
      </c>
      <c r="G44" s="347"/>
      <c r="H44" s="341">
        <f t="shared" ref="H44:H58" si="30">C44-D44+E44+F44-G44</f>
        <v>19000000</v>
      </c>
      <c r="I44" s="342">
        <f>JULIO!I44+JULIO!J44</f>
        <v>7295500</v>
      </c>
      <c r="J44" s="342">
        <f>'LIBRO DE PRESUPUESTO'!J234</f>
        <v>1400000</v>
      </c>
      <c r="K44" s="343">
        <f t="shared" si="28"/>
        <v>0.4576578947368421</v>
      </c>
      <c r="L44" s="344">
        <f t="shared" si="10"/>
        <v>8695500</v>
      </c>
      <c r="M44" s="584">
        <f t="shared" si="14"/>
        <v>8695500</v>
      </c>
      <c r="N44" s="580">
        <f t="shared" si="3"/>
        <v>10304500</v>
      </c>
      <c r="O44" s="581">
        <f t="shared" si="29"/>
        <v>0.54234210526315785</v>
      </c>
      <c r="P44" s="344">
        <f>L44</f>
        <v>8695500</v>
      </c>
      <c r="Q44" s="567">
        <f t="shared" si="26"/>
        <v>0</v>
      </c>
      <c r="R44" s="582">
        <f>SUM(R45:R48)</f>
        <v>0</v>
      </c>
    </row>
    <row r="45" spans="1:18" ht="15">
      <c r="A45" s="334">
        <v>202120202</v>
      </c>
      <c r="B45" s="351" t="s">
        <v>44</v>
      </c>
      <c r="C45" s="336">
        <f>'PAC INICIAL 2020'!C44</f>
        <v>52500000</v>
      </c>
      <c r="D45" s="342"/>
      <c r="E45" s="338"/>
      <c r="F45" s="339"/>
      <c r="G45" s="347"/>
      <c r="H45" s="341">
        <f t="shared" si="30"/>
        <v>52500000</v>
      </c>
      <c r="I45" s="342">
        <f>JULIO!I45+JULIO!J45</f>
        <v>17614120</v>
      </c>
      <c r="J45" s="342">
        <f>'LIBRO DE PRESUPUESTO'!J273+'LIBRO DE PRESUPUESTO'!J274</f>
        <v>3927500</v>
      </c>
      <c r="K45" s="343">
        <f t="shared" si="28"/>
        <v>0.41031657142857142</v>
      </c>
      <c r="L45" s="344">
        <f t="shared" si="10"/>
        <v>21541620</v>
      </c>
      <c r="M45" s="522">
        <f t="shared" si="14"/>
        <v>21541620</v>
      </c>
      <c r="N45" s="345">
        <f t="shared" si="3"/>
        <v>30958380</v>
      </c>
      <c r="O45" s="355">
        <f t="shared" si="29"/>
        <v>0.58968342857142853</v>
      </c>
      <c r="P45" s="344">
        <f t="shared" ref="P45:P61" si="31">L45</f>
        <v>21541620</v>
      </c>
      <c r="Q45" s="567">
        <f t="shared" si="26"/>
        <v>0</v>
      </c>
      <c r="R45" s="567">
        <f t="shared" si="13"/>
        <v>0</v>
      </c>
    </row>
    <row r="46" spans="1:18" ht="15">
      <c r="A46" s="334">
        <v>202120203</v>
      </c>
      <c r="B46" s="351" t="s">
        <v>46</v>
      </c>
      <c r="C46" s="336">
        <f>'PAC INICIAL 2020'!C45</f>
        <v>2000000</v>
      </c>
      <c r="D46" s="342"/>
      <c r="E46" s="338"/>
      <c r="F46" s="339"/>
      <c r="G46" s="347"/>
      <c r="H46" s="341">
        <f t="shared" si="30"/>
        <v>2000000</v>
      </c>
      <c r="I46" s="342">
        <f>JULIO!I46+JULIO!J46</f>
        <v>695600</v>
      </c>
      <c r="J46" s="4">
        <f>'LIBRO DE PRESUPUESTO'!J386</f>
        <v>220000</v>
      </c>
      <c r="K46" s="343">
        <f t="shared" si="28"/>
        <v>0.45779999999999998</v>
      </c>
      <c r="L46" s="344">
        <f t="shared" si="10"/>
        <v>915600</v>
      </c>
      <c r="M46" s="522">
        <f t="shared" si="14"/>
        <v>915600</v>
      </c>
      <c r="N46" s="345">
        <f t="shared" si="3"/>
        <v>1084400</v>
      </c>
      <c r="O46" s="355">
        <f t="shared" si="29"/>
        <v>0.54220000000000002</v>
      </c>
      <c r="P46" s="344">
        <f t="shared" si="31"/>
        <v>915600</v>
      </c>
      <c r="Q46" s="567">
        <f t="shared" si="26"/>
        <v>0</v>
      </c>
      <c r="R46" s="567">
        <f t="shared" si="13"/>
        <v>0</v>
      </c>
    </row>
    <row r="47" spans="1:18" ht="15">
      <c r="A47" s="334">
        <v>202120204</v>
      </c>
      <c r="B47" s="351" t="s">
        <v>48</v>
      </c>
      <c r="C47" s="336">
        <f>'PAC INICIAL 2020'!C46</f>
        <v>11619000</v>
      </c>
      <c r="D47" s="342"/>
      <c r="E47" s="338"/>
      <c r="F47" s="339"/>
      <c r="G47" s="347"/>
      <c r="H47" s="341">
        <f t="shared" si="30"/>
        <v>11619000</v>
      </c>
      <c r="I47" s="342">
        <f>JULIO!I47+JULIO!J47</f>
        <v>5220500</v>
      </c>
      <c r="J47" s="4">
        <f>'LIBRO DE PRESUPUESTO'!J409</f>
        <v>619000</v>
      </c>
      <c r="K47" s="343">
        <f t="shared" si="28"/>
        <v>0.50258197779499092</v>
      </c>
      <c r="L47" s="344">
        <f t="shared" si="10"/>
        <v>5839500</v>
      </c>
      <c r="M47" s="522">
        <f t="shared" si="14"/>
        <v>5839500</v>
      </c>
      <c r="N47" s="345">
        <f t="shared" si="3"/>
        <v>5779500</v>
      </c>
      <c r="O47" s="346">
        <f t="shared" si="29"/>
        <v>0.49741802220500902</v>
      </c>
      <c r="P47" s="344">
        <f t="shared" si="31"/>
        <v>5839500</v>
      </c>
      <c r="Q47" s="567">
        <f t="shared" si="26"/>
        <v>0</v>
      </c>
      <c r="R47" s="567">
        <f t="shared" si="13"/>
        <v>0</v>
      </c>
    </row>
    <row r="48" spans="1:18" ht="15">
      <c r="A48" s="334">
        <v>202120205</v>
      </c>
      <c r="B48" s="351" t="s">
        <v>50</v>
      </c>
      <c r="C48" s="336">
        <f>'PAC INICIAL 2020'!C47</f>
        <v>8000000</v>
      </c>
      <c r="D48" s="342"/>
      <c r="E48" s="338"/>
      <c r="F48" s="339"/>
      <c r="G48" s="347"/>
      <c r="H48" s="341">
        <f t="shared" si="30"/>
        <v>8000000</v>
      </c>
      <c r="I48" s="342">
        <f>JULIO!I48+JULIO!J48</f>
        <v>2249425</v>
      </c>
      <c r="J48" s="4">
        <f>'LIBRO DE PRESUPUESTO'!J431+'LIBRO DE PRESUPUESTO'!J432</f>
        <v>320431</v>
      </c>
      <c r="K48" s="343">
        <f t="shared" si="28"/>
        <v>0.32123200000000002</v>
      </c>
      <c r="L48" s="344">
        <f t="shared" si="10"/>
        <v>2569856</v>
      </c>
      <c r="M48" s="522">
        <f t="shared" si="14"/>
        <v>2569856</v>
      </c>
      <c r="N48" s="345">
        <f t="shared" si="3"/>
        <v>5430144</v>
      </c>
      <c r="O48" s="346">
        <f t="shared" si="29"/>
        <v>0.67876800000000004</v>
      </c>
      <c r="P48" s="344">
        <f t="shared" si="31"/>
        <v>2569856</v>
      </c>
      <c r="Q48" s="567">
        <f t="shared" si="26"/>
        <v>0</v>
      </c>
      <c r="R48" s="567">
        <f t="shared" si="13"/>
        <v>0</v>
      </c>
    </row>
    <row r="49" spans="1:18" ht="15.75">
      <c r="A49" s="334">
        <v>202120206</v>
      </c>
      <c r="B49" s="351" t="s">
        <v>52</v>
      </c>
      <c r="C49" s="336">
        <f>'PAC INICIAL 2020'!C48</f>
        <v>2500000</v>
      </c>
      <c r="D49" s="342"/>
      <c r="E49" s="338"/>
      <c r="F49" s="339"/>
      <c r="G49" s="347"/>
      <c r="H49" s="341">
        <f t="shared" si="30"/>
        <v>2500000</v>
      </c>
      <c r="I49" s="342">
        <f>JULIO!I49+JULIO!J49</f>
        <v>656430</v>
      </c>
      <c r="J49" s="2">
        <v>0</v>
      </c>
      <c r="K49" s="343">
        <f t="shared" si="28"/>
        <v>0.26257200000000003</v>
      </c>
      <c r="L49" s="344">
        <f t="shared" si="10"/>
        <v>656430</v>
      </c>
      <c r="M49" s="584">
        <f t="shared" si="14"/>
        <v>656430</v>
      </c>
      <c r="N49" s="345">
        <f t="shared" si="3"/>
        <v>1843570</v>
      </c>
      <c r="O49" s="346">
        <v>0</v>
      </c>
      <c r="P49" s="344">
        <f t="shared" si="31"/>
        <v>656430</v>
      </c>
      <c r="Q49" s="567">
        <f t="shared" si="26"/>
        <v>0</v>
      </c>
      <c r="R49" s="579">
        <f>SUM(R50:R59)</f>
        <v>0</v>
      </c>
    </row>
    <row r="50" spans="1:18" ht="15">
      <c r="A50" s="334">
        <v>202120207</v>
      </c>
      <c r="B50" s="354" t="s">
        <v>54</v>
      </c>
      <c r="C50" s="336">
        <f>'PAC INICIAL 2020'!C49</f>
        <v>1500000</v>
      </c>
      <c r="D50" s="342"/>
      <c r="E50" s="338"/>
      <c r="F50" s="339"/>
      <c r="G50" s="347"/>
      <c r="H50" s="341">
        <f t="shared" si="30"/>
        <v>1500000</v>
      </c>
      <c r="I50" s="342">
        <f>JULIO!I50+JULIO!J50</f>
        <v>0</v>
      </c>
      <c r="J50" s="342">
        <f>'LIBRO DE PRESUPUESTO'!J484</f>
        <v>200000</v>
      </c>
      <c r="K50" s="343">
        <f t="shared" si="28"/>
        <v>0.13333333333333333</v>
      </c>
      <c r="L50" s="344">
        <f t="shared" si="10"/>
        <v>200000</v>
      </c>
      <c r="M50" s="522">
        <f t="shared" si="14"/>
        <v>200000</v>
      </c>
      <c r="N50" s="345">
        <f t="shared" si="3"/>
        <v>1300000</v>
      </c>
      <c r="O50" s="346">
        <f>N50/H50</f>
        <v>0.8666666666666667</v>
      </c>
      <c r="P50" s="344">
        <f t="shared" si="31"/>
        <v>200000</v>
      </c>
      <c r="Q50" s="567">
        <f t="shared" si="26"/>
        <v>0</v>
      </c>
      <c r="R50" s="567">
        <f t="shared" si="13"/>
        <v>0</v>
      </c>
    </row>
    <row r="51" spans="1:18" ht="15">
      <c r="A51" s="334">
        <v>202120208</v>
      </c>
      <c r="B51" s="351" t="s">
        <v>56</v>
      </c>
      <c r="C51" s="336">
        <f>'PAC INICIAL 2020'!C50</f>
        <v>0</v>
      </c>
      <c r="D51" s="342"/>
      <c r="E51" s="338"/>
      <c r="F51" s="357"/>
      <c r="G51" s="347"/>
      <c r="H51" s="341">
        <f t="shared" si="30"/>
        <v>0</v>
      </c>
      <c r="I51" s="342">
        <f>JULIO!I51+JULIO!J51</f>
        <v>0</v>
      </c>
      <c r="J51" s="342">
        <v>0</v>
      </c>
      <c r="K51" s="343">
        <v>0</v>
      </c>
      <c r="L51" s="344">
        <f t="shared" si="10"/>
        <v>0</v>
      </c>
      <c r="M51" s="522">
        <f t="shared" si="14"/>
        <v>0</v>
      </c>
      <c r="N51" s="345">
        <f t="shared" si="3"/>
        <v>0</v>
      </c>
      <c r="O51" s="346">
        <v>0</v>
      </c>
      <c r="P51" s="344">
        <f t="shared" si="31"/>
        <v>0</v>
      </c>
      <c r="Q51" s="567">
        <f t="shared" si="26"/>
        <v>0</v>
      </c>
      <c r="R51" s="567">
        <f t="shared" si="13"/>
        <v>0</v>
      </c>
    </row>
    <row r="52" spans="1:18" ht="15">
      <c r="A52" s="334">
        <v>202120209</v>
      </c>
      <c r="B52" s="351" t="s">
        <v>58</v>
      </c>
      <c r="C52" s="336">
        <f>'PAC INICIAL 2020'!C51</f>
        <v>9400000</v>
      </c>
      <c r="D52" s="342"/>
      <c r="E52" s="338"/>
      <c r="F52" s="339"/>
      <c r="G52" s="347"/>
      <c r="H52" s="341">
        <f t="shared" si="30"/>
        <v>9400000</v>
      </c>
      <c r="I52" s="342">
        <f>JULIO!I52+JULIO!J52</f>
        <v>2481533</v>
      </c>
      <c r="J52" s="6">
        <v>0</v>
      </c>
      <c r="K52" s="343">
        <f>L52/H52</f>
        <v>0.26399287234042551</v>
      </c>
      <c r="L52" s="344">
        <f t="shared" si="10"/>
        <v>2481533</v>
      </c>
      <c r="M52" s="522">
        <f t="shared" si="14"/>
        <v>2481533</v>
      </c>
      <c r="N52" s="345">
        <f t="shared" si="3"/>
        <v>6918467</v>
      </c>
      <c r="O52" s="346">
        <f>N52/H52</f>
        <v>0.73600712765957443</v>
      </c>
      <c r="P52" s="344">
        <f t="shared" si="31"/>
        <v>2481533</v>
      </c>
      <c r="Q52" s="567">
        <f t="shared" si="26"/>
        <v>0</v>
      </c>
      <c r="R52" s="567">
        <f t="shared" si="13"/>
        <v>0</v>
      </c>
    </row>
    <row r="53" spans="1:18" ht="15">
      <c r="A53" s="334">
        <v>202120210</v>
      </c>
      <c r="B53" s="354" t="s">
        <v>60</v>
      </c>
      <c r="C53" s="336">
        <f>'PAC INICIAL 2020'!C52</f>
        <v>10000000</v>
      </c>
      <c r="D53" s="342"/>
      <c r="E53" s="338"/>
      <c r="F53" s="339"/>
      <c r="G53" s="347"/>
      <c r="H53" s="341">
        <f t="shared" si="30"/>
        <v>10000000</v>
      </c>
      <c r="I53" s="342">
        <f>JULIO!I53+JULIO!J53</f>
        <v>1500000</v>
      </c>
      <c r="J53" s="6">
        <v>0</v>
      </c>
      <c r="K53" s="343">
        <f>L53/H53</f>
        <v>0.15</v>
      </c>
      <c r="L53" s="344">
        <f t="shared" si="10"/>
        <v>1500000</v>
      </c>
      <c r="M53" s="522">
        <f t="shared" si="14"/>
        <v>1500000</v>
      </c>
      <c r="N53" s="345">
        <f t="shared" si="3"/>
        <v>8500000</v>
      </c>
      <c r="O53" s="346">
        <f>N53/H53</f>
        <v>0.85</v>
      </c>
      <c r="P53" s="344">
        <f t="shared" si="31"/>
        <v>1500000</v>
      </c>
      <c r="Q53" s="567">
        <f t="shared" si="26"/>
        <v>0</v>
      </c>
      <c r="R53" s="567">
        <f t="shared" si="13"/>
        <v>0</v>
      </c>
    </row>
    <row r="54" spans="1:18" ht="15">
      <c r="A54" s="334">
        <v>202120211</v>
      </c>
      <c r="B54" s="351" t="s">
        <v>62</v>
      </c>
      <c r="C54" s="336">
        <f>'PAC INICIAL 2020'!C53</f>
        <v>4000000</v>
      </c>
      <c r="D54" s="342"/>
      <c r="E54" s="338"/>
      <c r="F54" s="339"/>
      <c r="G54" s="347"/>
      <c r="H54" s="341">
        <f t="shared" si="30"/>
        <v>4000000</v>
      </c>
      <c r="I54" s="342">
        <f>JULIO!I54+JULIO!J54</f>
        <v>1130000</v>
      </c>
      <c r="J54" s="6">
        <v>0</v>
      </c>
      <c r="K54" s="343">
        <v>0</v>
      </c>
      <c r="L54" s="344">
        <f t="shared" si="10"/>
        <v>1130000</v>
      </c>
      <c r="M54" s="522">
        <f t="shared" si="14"/>
        <v>1130000</v>
      </c>
      <c r="N54" s="345">
        <f t="shared" si="3"/>
        <v>2870000</v>
      </c>
      <c r="O54" s="346">
        <v>0</v>
      </c>
      <c r="P54" s="344">
        <f t="shared" si="31"/>
        <v>1130000</v>
      </c>
      <c r="Q54" s="567">
        <f t="shared" si="26"/>
        <v>0</v>
      </c>
      <c r="R54" s="567">
        <f t="shared" si="13"/>
        <v>0</v>
      </c>
    </row>
    <row r="55" spans="1:18" ht="15">
      <c r="A55" s="334">
        <v>202120212</v>
      </c>
      <c r="B55" s="351" t="s">
        <v>64</v>
      </c>
      <c r="C55" s="336">
        <f>'PAC INICIAL 2020'!C54</f>
        <v>15000000</v>
      </c>
      <c r="D55" s="342"/>
      <c r="E55" s="338"/>
      <c r="F55" s="339"/>
      <c r="G55" s="347"/>
      <c r="H55" s="341">
        <f t="shared" si="30"/>
        <v>15000000</v>
      </c>
      <c r="I55" s="342">
        <f>JULIO!I55+JULIO!J55</f>
        <v>0</v>
      </c>
      <c r="J55" s="342">
        <v>0</v>
      </c>
      <c r="K55" s="343">
        <v>0</v>
      </c>
      <c r="L55" s="344">
        <f t="shared" si="10"/>
        <v>0</v>
      </c>
      <c r="M55" s="522">
        <f t="shared" si="14"/>
        <v>0</v>
      </c>
      <c r="N55" s="345">
        <f t="shared" si="3"/>
        <v>15000000</v>
      </c>
      <c r="O55" s="346">
        <v>0</v>
      </c>
      <c r="P55" s="344">
        <f t="shared" si="31"/>
        <v>0</v>
      </c>
      <c r="Q55" s="567">
        <f t="shared" si="26"/>
        <v>0</v>
      </c>
      <c r="R55" s="567">
        <f t="shared" si="13"/>
        <v>0</v>
      </c>
    </row>
    <row r="56" spans="1:18" ht="15">
      <c r="A56" s="334">
        <v>202120213</v>
      </c>
      <c r="B56" s="351" t="s">
        <v>65</v>
      </c>
      <c r="C56" s="336">
        <f>'PAC INICIAL 2020'!C55</f>
        <v>0</v>
      </c>
      <c r="D56" s="342"/>
      <c r="E56" s="338"/>
      <c r="F56" s="339"/>
      <c r="G56" s="347"/>
      <c r="H56" s="341">
        <f t="shared" si="30"/>
        <v>0</v>
      </c>
      <c r="I56" s="342">
        <f>JULIO!I56+JULIO!J56</f>
        <v>0</v>
      </c>
      <c r="J56" s="342">
        <v>0</v>
      </c>
      <c r="K56" s="343">
        <v>0</v>
      </c>
      <c r="L56" s="344">
        <f t="shared" si="10"/>
        <v>0</v>
      </c>
      <c r="M56" s="522">
        <f t="shared" si="14"/>
        <v>0</v>
      </c>
      <c r="N56" s="345">
        <f t="shared" si="3"/>
        <v>0</v>
      </c>
      <c r="O56" s="346">
        <v>0</v>
      </c>
      <c r="P56" s="344">
        <f t="shared" si="31"/>
        <v>0</v>
      </c>
      <c r="Q56" s="567">
        <f t="shared" si="26"/>
        <v>0</v>
      </c>
      <c r="R56" s="567">
        <f t="shared" si="13"/>
        <v>0</v>
      </c>
    </row>
    <row r="57" spans="1:18" ht="15">
      <c r="A57" s="334">
        <v>202120214</v>
      </c>
      <c r="B57" s="351" t="s">
        <v>67</v>
      </c>
      <c r="C57" s="336">
        <f>'PAC INICIAL 2020'!C56</f>
        <v>0</v>
      </c>
      <c r="D57" s="342"/>
      <c r="E57" s="338"/>
      <c r="F57" s="339">
        <f>'LIBRO DE PRESUPUESTO'!G536</f>
        <v>3500000</v>
      </c>
      <c r="G57" s="347"/>
      <c r="H57" s="341">
        <f t="shared" si="30"/>
        <v>3500000</v>
      </c>
      <c r="I57" s="342">
        <f>JULIO!I57+JULIO!J57</f>
        <v>0</v>
      </c>
      <c r="J57" s="342">
        <v>0</v>
      </c>
      <c r="K57" s="343">
        <v>0</v>
      </c>
      <c r="L57" s="344">
        <f t="shared" si="10"/>
        <v>0</v>
      </c>
      <c r="M57" s="522">
        <f t="shared" si="14"/>
        <v>0</v>
      </c>
      <c r="N57" s="345">
        <f t="shared" si="3"/>
        <v>3500000</v>
      </c>
      <c r="O57" s="346">
        <v>0</v>
      </c>
      <c r="P57" s="344">
        <f t="shared" si="31"/>
        <v>0</v>
      </c>
      <c r="Q57" s="567">
        <f t="shared" si="26"/>
        <v>0</v>
      </c>
      <c r="R57" s="567">
        <f t="shared" si="13"/>
        <v>0</v>
      </c>
    </row>
    <row r="58" spans="1:18" ht="15">
      <c r="A58" s="358">
        <v>202120215</v>
      </c>
      <c r="B58" s="351" t="s">
        <v>97</v>
      </c>
      <c r="C58" s="336">
        <f>'PAC INICIAL 2020'!C57</f>
        <v>1200000</v>
      </c>
      <c r="D58" s="342"/>
      <c r="E58" s="338"/>
      <c r="F58" s="339"/>
      <c r="G58" s="347"/>
      <c r="H58" s="341">
        <f t="shared" si="30"/>
        <v>1200000</v>
      </c>
      <c r="I58" s="342">
        <f>JULIO!I58+JULIO!J58</f>
        <v>0</v>
      </c>
      <c r="J58" s="342">
        <v>0</v>
      </c>
      <c r="K58" s="343">
        <f>L58/H58</f>
        <v>0</v>
      </c>
      <c r="L58" s="344">
        <f t="shared" si="10"/>
        <v>0</v>
      </c>
      <c r="M58" s="522">
        <f t="shared" si="14"/>
        <v>0</v>
      </c>
      <c r="N58" s="345">
        <f t="shared" si="3"/>
        <v>1200000</v>
      </c>
      <c r="O58" s="346">
        <f>N58/H58</f>
        <v>1</v>
      </c>
      <c r="P58" s="344">
        <f t="shared" si="31"/>
        <v>0</v>
      </c>
      <c r="Q58" s="567">
        <f t="shared" si="26"/>
        <v>0</v>
      </c>
      <c r="R58" s="567">
        <f t="shared" si="13"/>
        <v>0</v>
      </c>
    </row>
    <row r="59" spans="1:18" ht="15">
      <c r="A59" s="358">
        <v>202120216</v>
      </c>
      <c r="B59" s="351" t="s">
        <v>148</v>
      </c>
      <c r="C59" s="336">
        <f>'PAC INICIAL 2020'!C58</f>
        <v>1000000</v>
      </c>
      <c r="D59" s="342"/>
      <c r="E59" s="338"/>
      <c r="F59" s="339"/>
      <c r="G59" s="347"/>
      <c r="H59" s="341">
        <f>C59-D59+E59+F59-G59</f>
        <v>1000000</v>
      </c>
      <c r="I59" s="342">
        <f>JULIO!I59+JULIO!J59</f>
        <v>0</v>
      </c>
      <c r="J59" s="342">
        <v>0</v>
      </c>
      <c r="K59" s="343">
        <f>L59/H59</f>
        <v>0</v>
      </c>
      <c r="L59" s="344">
        <f t="shared" si="10"/>
        <v>0</v>
      </c>
      <c r="M59" s="522">
        <f t="shared" si="14"/>
        <v>0</v>
      </c>
      <c r="N59" s="345">
        <f>H59-L59</f>
        <v>1000000</v>
      </c>
      <c r="O59" s="346">
        <f>N59/H59</f>
        <v>1</v>
      </c>
      <c r="P59" s="344">
        <f t="shared" si="31"/>
        <v>0</v>
      </c>
      <c r="Q59" s="567">
        <f t="shared" si="26"/>
        <v>0</v>
      </c>
      <c r="R59" s="567">
        <f t="shared" si="13"/>
        <v>0</v>
      </c>
    </row>
    <row r="60" spans="1:18" ht="27" customHeight="1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0</v>
      </c>
      <c r="H60" s="329">
        <f>SUM(H61:H61)</f>
        <v>75000000</v>
      </c>
      <c r="I60" s="329">
        <f>SUM(I61:I61)</f>
        <v>62645000</v>
      </c>
      <c r="J60" s="329">
        <f>SUM(J61:J61)</f>
        <v>0</v>
      </c>
      <c r="K60" s="330">
        <f>K61</f>
        <v>1</v>
      </c>
      <c r="L60" s="331">
        <f>L61</f>
        <v>62645000</v>
      </c>
      <c r="M60" s="348">
        <f t="shared" si="14"/>
        <v>62645000</v>
      </c>
      <c r="N60" s="348">
        <f>SUM(N61:N61)</f>
        <v>12355000</v>
      </c>
      <c r="O60" s="332">
        <v>0</v>
      </c>
      <c r="P60" s="329">
        <f>SUM(P61:P61)</f>
        <v>62645000</v>
      </c>
      <c r="Q60" s="329">
        <f>SUM(Q61:Q61)</f>
        <v>0</v>
      </c>
      <c r="R60" s="329">
        <f>SUM(R61:R61)</f>
        <v>0</v>
      </c>
    </row>
    <row r="61" spans="1:18" ht="15">
      <c r="A61" s="368">
        <v>202130101</v>
      </c>
      <c r="B61" s="369" t="s">
        <v>96</v>
      </c>
      <c r="C61" s="336">
        <f>'PAC INICIAL 2020'!C76</f>
        <v>75000000</v>
      </c>
      <c r="D61" s="370">
        <v>0</v>
      </c>
      <c r="E61" s="371"/>
      <c r="F61" s="372"/>
      <c r="G61" s="373"/>
      <c r="H61" s="341">
        <f>C61-D61+E61+F61-G61</f>
        <v>75000000</v>
      </c>
      <c r="I61" s="342">
        <f>JULIO!I61+JULIO!J61</f>
        <v>62645000</v>
      </c>
      <c r="J61" s="370">
        <v>0</v>
      </c>
      <c r="K61" s="343">
        <v>1</v>
      </c>
      <c r="L61" s="344">
        <f>J61+I61</f>
        <v>62645000</v>
      </c>
      <c r="M61" s="522">
        <f t="shared" si="14"/>
        <v>62645000</v>
      </c>
      <c r="N61" s="345">
        <f t="shared" si="3"/>
        <v>12355000</v>
      </c>
      <c r="O61" s="346">
        <v>0</v>
      </c>
      <c r="P61" s="344">
        <f t="shared" si="31"/>
        <v>62645000</v>
      </c>
      <c r="Q61" s="567">
        <f t="shared" si="26"/>
        <v>0</v>
      </c>
      <c r="R61" s="344"/>
    </row>
    <row r="62" spans="1:18" s="380" customFormat="1" ht="31.5" customHeight="1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167244166</v>
      </c>
      <c r="F62" s="377">
        <f>F8+F18+F38+F43++F22+F27+F60</f>
        <v>121000000</v>
      </c>
      <c r="G62" s="377">
        <f>G8+G18+G38+G43+G22+G27+G60</f>
        <v>121000000</v>
      </c>
      <c r="H62" s="377">
        <f>H8+H18+H38+H43+H22+H27+H60</f>
        <v>1322370231</v>
      </c>
      <c r="I62" s="377">
        <f>I8+I18+I38+I43+I22+I27+I60</f>
        <v>592219333.44652772</v>
      </c>
      <c r="J62" s="377">
        <f>J8+J18+J38+J43+J22+J27+J60</f>
        <v>110564307</v>
      </c>
      <c r="K62" s="378">
        <f>L62/H62</f>
        <v>0.53145754794787703</v>
      </c>
      <c r="L62" s="377">
        <f>L8+L18+L38+L43+L22+L27+L60</f>
        <v>702783640.44652772</v>
      </c>
      <c r="M62" s="377">
        <f>M8+M18+M38+M43+M22+M27+M60</f>
        <v>702783640.44652772</v>
      </c>
      <c r="N62" s="377">
        <f>N8+N18+N38+N43+N22+N27+N60</f>
        <v>619586590.55347228</v>
      </c>
      <c r="O62" s="379">
        <f>N62/H62</f>
        <v>0.46854245205212297</v>
      </c>
      <c r="P62" s="377">
        <f>P8+P18+P38+P43+P22+P27+P60</f>
        <v>660283640.44652772</v>
      </c>
      <c r="Q62" s="568">
        <f>Q9+Q18+Q22+Q27+Q44+Q49+Q60</f>
        <v>42500000</v>
      </c>
      <c r="R62" s="377">
        <f>R9+R18+R22+R27+R44+R49+R60</f>
        <v>0</v>
      </c>
    </row>
    <row r="63" spans="1:18" ht="35.25" customHeight="1">
      <c r="A63" s="621" t="s">
        <v>172</v>
      </c>
      <c r="B63" s="683" t="s">
        <v>173</v>
      </c>
      <c r="C63" s="684"/>
      <c r="D63" s="684"/>
      <c r="E63" s="684"/>
      <c r="F63" s="684"/>
      <c r="G63" s="684"/>
      <c r="H63" s="684"/>
      <c r="I63" s="684"/>
      <c r="J63" s="684"/>
      <c r="K63" s="684"/>
      <c r="L63" s="684"/>
      <c r="M63" s="684"/>
      <c r="N63" s="684"/>
      <c r="O63" s="685"/>
      <c r="P63" s="381"/>
      <c r="Q63" s="381"/>
      <c r="R63" s="381"/>
    </row>
    <row r="65" spans="4:14">
      <c r="D65" s="382"/>
      <c r="E65" s="382"/>
      <c r="F65" s="382"/>
      <c r="G65" s="382"/>
      <c r="N65" s="382"/>
    </row>
    <row r="66" spans="4:14">
      <c r="G66" s="382"/>
      <c r="I66" s="382"/>
      <c r="J66" s="385"/>
      <c r="N66" s="382"/>
    </row>
    <row r="67" spans="4:14">
      <c r="D67" s="382"/>
      <c r="J67" s="382"/>
      <c r="K67" s="382"/>
      <c r="N67" s="382"/>
    </row>
    <row r="68" spans="4:14">
      <c r="H68" s="382"/>
      <c r="J68" s="382"/>
      <c r="N68" s="382"/>
    </row>
    <row r="69" spans="4:14">
      <c r="H69" s="382"/>
      <c r="J69" s="382"/>
    </row>
  </sheetData>
  <mergeCells count="5">
    <mergeCell ref="A1:O1"/>
    <mergeCell ref="A2:O2"/>
    <mergeCell ref="A3:O3"/>
    <mergeCell ref="K5:K6"/>
    <mergeCell ref="B63:O63"/>
  </mergeCells>
  <printOptions horizontalCentered="1" verticalCentered="1"/>
  <pageMargins left="0.23622047244094491" right="0.23622047244094491" top="0.39370078740157483" bottom="0.39370078740157483" header="0" footer="0"/>
  <pageSetup paperSize="14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PAC INICIAL 2020 (2)</vt:lpstr>
      <vt:lpstr>PROYECCION 2020</vt:lpstr>
      <vt:lpstr>PAC INICIAL 2020</vt:lpstr>
      <vt:lpstr>PAC MENSUALIZADO</vt:lpstr>
      <vt:lpstr>LIBRO DE PRESUPUESTO</vt:lpstr>
      <vt:lpstr>OCTUBRE</vt:lpstr>
      <vt:lpstr>SEPTIEMBRE AGR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2020-11-05T19:31:19Z</cp:lastPrinted>
  <dcterms:created xsi:type="dcterms:W3CDTF">2017-04-04T19:21:33Z</dcterms:created>
  <dcterms:modified xsi:type="dcterms:W3CDTF">2021-01-15T13:55:07Z</dcterms:modified>
</cp:coreProperties>
</file>